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wooncompagnie.sharepoint.com/sites/KTI-Wooncompagnie/Gedeelde documenten/General/"/>
    </mc:Choice>
  </mc:AlternateContent>
  <xr:revisionPtr revIDLastSave="132" documentId="8_{9E6DECB2-BEFC-4854-AACC-FF776B926F5A}" xr6:coauthVersionLast="47" xr6:coauthVersionMax="47" xr10:uidLastSave="{5241E002-25ED-4DEF-89AD-D9C0C6D4FC55}"/>
  <bookViews>
    <workbookView xWindow="6165" yWindow="-16320" windowWidth="29040" windowHeight="15720" xr2:uid="{5C988534-6BF0-4E16-8926-494BF4A68FFA}"/>
  </bookViews>
  <sheets>
    <sheet name="Uitgangspunten" sheetId="1" r:id="rId1"/>
    <sheet name="Scenario"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1" i="2" l="1"/>
  <c r="AF11" i="2"/>
  <c r="G8" i="1"/>
  <c r="Q11" i="2" s="1"/>
  <c r="H8" i="1"/>
  <c r="R11" i="2" s="1"/>
  <c r="I8" i="1"/>
  <c r="S11" i="2" s="1"/>
  <c r="J8" i="1"/>
  <c r="T11" i="2" s="1"/>
  <c r="K8" i="1"/>
  <c r="U11" i="2" s="1"/>
  <c r="L8" i="1"/>
  <c r="V11" i="2" s="1"/>
  <c r="M8" i="1"/>
  <c r="W11" i="2" s="1"/>
  <c r="N8" i="1"/>
  <c r="X11" i="2" s="1"/>
  <c r="O8" i="1"/>
  <c r="Y11" i="2" s="1"/>
  <c r="P8" i="1"/>
  <c r="Z11" i="2" s="1"/>
  <c r="Q8" i="1"/>
  <c r="AA11" i="2" s="1"/>
  <c r="R8" i="1"/>
  <c r="AB11" i="2" s="1"/>
  <c r="S8" i="1"/>
  <c r="AC11" i="2" s="1"/>
  <c r="T8" i="1"/>
  <c r="AD11" i="2" s="1"/>
  <c r="U8" i="1"/>
  <c r="V8" i="1"/>
  <c r="F8" i="1"/>
  <c r="P11" i="2" s="1"/>
  <c r="E7" i="1"/>
  <c r="O11" i="2" s="1"/>
  <c r="C9" i="2" a="1"/>
  <c r="C9" i="2" s="1"/>
  <c r="C13" i="1"/>
  <c r="C14" i="1"/>
  <c r="E5" i="1"/>
  <c r="C17" i="2" a="1"/>
  <c r="C17" i="2" s="1"/>
  <c r="C27" i="1" l="1"/>
  <c r="Z45" i="2"/>
  <c r="AA45" i="2" s="1"/>
  <c r="C14" i="2" l="1" a="1"/>
  <c r="C14" i="2" s="1"/>
  <c r="C49" i="2" s="1"/>
  <c r="C10" i="2"/>
  <c r="C46" i="2"/>
  <c r="C16" i="1"/>
  <c r="O17" i="2" l="1" a="1"/>
  <c r="O17" i="2" s="1"/>
  <c r="C12" i="2"/>
  <c r="F4" i="2"/>
  <c r="F5" i="2" s="1"/>
  <c r="F6" i="2" s="1"/>
  <c r="F7" i="2" s="1"/>
  <c r="F8" i="2" s="1"/>
  <c r="F9" i="2" s="1"/>
  <c r="F10" i="2" s="1"/>
  <c r="F11" i="2" s="1"/>
  <c r="F12" i="2" s="1"/>
  <c r="F13" i="2" s="1"/>
  <c r="F14" i="2" s="1"/>
  <c r="F15" i="2" s="1"/>
  <c r="F16" i="2" s="1"/>
  <c r="F17" i="2" s="1"/>
  <c r="F18" i="2" s="1"/>
  <c r="F19" i="2" s="1"/>
  <c r="F20" i="2" s="1"/>
  <c r="P2" i="2"/>
  <c r="Q2" i="2" s="1"/>
  <c r="R2" i="2" s="1"/>
  <c r="S2" i="2" s="1"/>
  <c r="T2" i="2" s="1"/>
  <c r="U2" i="2" s="1"/>
  <c r="V2" i="2" s="1"/>
  <c r="W2" i="2" s="1"/>
  <c r="X2" i="2" s="1"/>
  <c r="Y2" i="2" s="1"/>
  <c r="Z2" i="2" s="1"/>
  <c r="AA2" i="2" s="1"/>
  <c r="AB2" i="2" s="1"/>
  <c r="AC2" i="2" s="1"/>
  <c r="AD2" i="2" s="1"/>
  <c r="AE2" i="2" s="1"/>
  <c r="AF2" i="2" s="1"/>
  <c r="AF17" i="2" s="1" a="1"/>
  <c r="AF17" i="2" s="1"/>
  <c r="C12" i="1"/>
  <c r="F3" i="1"/>
  <c r="F6" i="1" s="1"/>
  <c r="C18" i="2"/>
  <c r="O20" i="2" a="1"/>
  <c r="O20" i="2" s="1"/>
  <c r="P20" i="2" s="1"/>
  <c r="Q20" i="2" s="1"/>
  <c r="R20" i="2" s="1"/>
  <c r="S20" i="2" s="1"/>
  <c r="T20" i="2" s="1"/>
  <c r="U20" i="2" s="1"/>
  <c r="V20" i="2" s="1"/>
  <c r="W20" i="2" s="1"/>
  <c r="X20" i="2" s="1"/>
  <c r="Y20" i="2" s="1"/>
  <c r="Z20" i="2" s="1"/>
  <c r="AA20" i="2" s="1"/>
  <c r="AB20" i="2" s="1"/>
  <c r="AC20" i="2" s="1"/>
  <c r="AD20" i="2" s="1"/>
  <c r="AE20" i="2" s="1"/>
  <c r="AF20" i="2" s="1"/>
  <c r="S17" i="2" l="1" a="1"/>
  <c r="S17" i="2" s="1"/>
  <c r="AE17" i="2" a="1"/>
  <c r="AE17" i="2" s="1"/>
  <c r="X17" i="2" a="1"/>
  <c r="X17" i="2" s="1"/>
  <c r="AB17" i="2" a="1"/>
  <c r="AB17" i="2" s="1"/>
  <c r="AD17" i="2" a="1"/>
  <c r="AD17" i="2" s="1"/>
  <c r="AA17" i="2" a="1"/>
  <c r="AA17" i="2" s="1"/>
  <c r="W17" i="2" a="1"/>
  <c r="W17" i="2" s="1"/>
  <c r="Z17" i="2" a="1"/>
  <c r="Z17" i="2" s="1"/>
  <c r="Q17" i="2" a="1"/>
  <c r="Q17" i="2" s="1"/>
  <c r="Y17" i="2" a="1"/>
  <c r="Y17" i="2" s="1"/>
  <c r="T17" i="2" a="1"/>
  <c r="T17" i="2" s="1"/>
  <c r="AC17" i="2" a="1"/>
  <c r="AC17" i="2" s="1"/>
  <c r="P17" i="2" a="1"/>
  <c r="P17" i="2" s="1"/>
  <c r="V17" i="2" a="1"/>
  <c r="V17" i="2" s="1"/>
  <c r="R17" i="2" a="1"/>
  <c r="R17" i="2" s="1"/>
  <c r="U17" i="2" a="1"/>
  <c r="U17" i="2" s="1"/>
  <c r="G3" i="1"/>
  <c r="G6" i="1" s="1"/>
  <c r="P3" i="2"/>
  <c r="Y3" i="2"/>
  <c r="C47" i="2"/>
  <c r="AF3" i="2"/>
  <c r="AE3" i="2"/>
  <c r="W3" i="2"/>
  <c r="O3" i="2"/>
  <c r="AD3" i="2"/>
  <c r="V3" i="2"/>
  <c r="T3" i="2"/>
  <c r="AC3" i="2"/>
  <c r="U3" i="2"/>
  <c r="X3" i="2"/>
  <c r="AB3" i="2"/>
  <c r="R3" i="2"/>
  <c r="AA3" i="2"/>
  <c r="S3" i="2"/>
  <c r="Q3" i="2"/>
  <c r="Z3" i="2"/>
  <c r="E17" i="1"/>
  <c r="F17" i="1" s="1"/>
  <c r="G17" i="1" s="1"/>
  <c r="H17" i="1" s="1"/>
  <c r="I17" i="1" s="1"/>
  <c r="J17" i="1" s="1"/>
  <c r="K17" i="1" s="1"/>
  <c r="L17" i="1" s="1"/>
  <c r="M17" i="1" s="1"/>
  <c r="N17" i="1" s="1"/>
  <c r="O17" i="1" s="1"/>
  <c r="P17" i="1" s="1"/>
  <c r="Q17" i="1" s="1"/>
  <c r="R17" i="1" s="1"/>
  <c r="S17" i="1" s="1"/>
  <c r="T17" i="1" s="1"/>
  <c r="U17" i="1" s="1"/>
  <c r="V17" i="1" s="1"/>
  <c r="E16" i="1"/>
  <c r="F16" i="1" s="1"/>
  <c r="G16" i="1" s="1"/>
  <c r="H16" i="1" s="1"/>
  <c r="I16" i="1" s="1"/>
  <c r="J16" i="1" s="1"/>
  <c r="K16" i="1" s="1"/>
  <c r="L16" i="1" s="1"/>
  <c r="M16" i="1" s="1"/>
  <c r="N16" i="1" s="1"/>
  <c r="O16" i="1" s="1"/>
  <c r="P16" i="1" s="1"/>
  <c r="Q16" i="1" s="1"/>
  <c r="R16" i="1" s="1"/>
  <c r="S16" i="1" s="1"/>
  <c r="T16" i="1" s="1"/>
  <c r="U16" i="1" s="1"/>
  <c r="V16" i="1" s="1"/>
  <c r="E12" i="1"/>
  <c r="F12" i="1" s="1"/>
  <c r="G12" i="1" s="1"/>
  <c r="H12" i="1" s="1"/>
  <c r="I12" i="1" s="1"/>
  <c r="J12" i="1" s="1"/>
  <c r="K12" i="1" s="1"/>
  <c r="L12" i="1" s="1"/>
  <c r="M12" i="1" s="1"/>
  <c r="N12" i="1" s="1"/>
  <c r="O12" i="1" s="1"/>
  <c r="P12" i="1" s="1"/>
  <c r="Q12" i="1" s="1"/>
  <c r="R12" i="1" s="1"/>
  <c r="S12" i="1" s="1"/>
  <c r="T12" i="1" s="1"/>
  <c r="U12" i="1" s="1"/>
  <c r="V12" i="1" s="1"/>
  <c r="E11" i="1"/>
  <c r="F11" i="1" s="1"/>
  <c r="G11" i="1" s="1"/>
  <c r="H11" i="1" s="1"/>
  <c r="I11" i="1" s="1"/>
  <c r="J11" i="1" s="1"/>
  <c r="K11" i="1" s="1"/>
  <c r="L11" i="1" s="1"/>
  <c r="M11" i="1" s="1"/>
  <c r="N11" i="1" s="1"/>
  <c r="O11" i="1" s="1"/>
  <c r="P11" i="1" s="1"/>
  <c r="Q11" i="1" s="1"/>
  <c r="R11" i="1" s="1"/>
  <c r="S11" i="1" s="1"/>
  <c r="T11" i="1" s="1"/>
  <c r="U11" i="1" s="1"/>
  <c r="V11" i="1" s="1"/>
  <c r="E10" i="1"/>
  <c r="F10" i="1" s="1"/>
  <c r="E4" i="1"/>
  <c r="B17" i="2"/>
  <c r="F33" i="1"/>
  <c r="G33" i="1"/>
  <c r="H33" i="1"/>
  <c r="I33" i="1"/>
  <c r="J33" i="1"/>
  <c r="K33" i="1"/>
  <c r="L33" i="1"/>
  <c r="M33" i="1"/>
  <c r="N33" i="1"/>
  <c r="O33" i="1"/>
  <c r="P33" i="1"/>
  <c r="Q33" i="1"/>
  <c r="R33" i="1"/>
  <c r="S33" i="1"/>
  <c r="T33" i="1"/>
  <c r="U33" i="1"/>
  <c r="V33" i="1"/>
  <c r="E33" i="1"/>
  <c r="D14" i="2"/>
  <c r="B14" i="2"/>
  <c r="H3" i="1" l="1"/>
  <c r="H6" i="1" s="1"/>
  <c r="P15" i="2"/>
  <c r="G10" i="1"/>
  <c r="Q15" i="2" s="1"/>
  <c r="F4" i="1"/>
  <c r="O19" i="2"/>
  <c r="O22" i="2" s="1"/>
  <c r="O15" i="2"/>
  <c r="AD16" i="2"/>
  <c r="V16" i="2"/>
  <c r="AC16" i="2"/>
  <c r="U16" i="2"/>
  <c r="AA16" i="2"/>
  <c r="S16" i="2"/>
  <c r="AF16" i="2"/>
  <c r="X16" i="2"/>
  <c r="P16" i="2"/>
  <c r="AE16" i="2"/>
  <c r="W16" i="2"/>
  <c r="AB16" i="2"/>
  <c r="T16" i="2"/>
  <c r="Z16" i="2"/>
  <c r="R16" i="2"/>
  <c r="O16" i="2"/>
  <c r="Y16" i="2"/>
  <c r="Q16" i="2"/>
  <c r="P18" i="2"/>
  <c r="O18" i="2"/>
  <c r="C11" i="2"/>
  <c r="I3" i="1" l="1"/>
  <c r="I6" i="1" s="1"/>
  <c r="G4" i="1"/>
  <c r="H4" i="1" s="1"/>
  <c r="H10" i="1"/>
  <c r="E15" i="1"/>
  <c r="P19" i="2"/>
  <c r="P22" i="2" s="1"/>
  <c r="Q18" i="2"/>
  <c r="P14" i="2"/>
  <c r="Q14" i="2"/>
  <c r="R14" i="2"/>
  <c r="S14" i="2"/>
  <c r="T14" i="2"/>
  <c r="U14" i="2"/>
  <c r="V14" i="2"/>
  <c r="W14" i="2"/>
  <c r="X14" i="2"/>
  <c r="Y14" i="2"/>
  <c r="Z14" i="2"/>
  <c r="AA14" i="2"/>
  <c r="AB14" i="2"/>
  <c r="AC14" i="2"/>
  <c r="AD14" i="2"/>
  <c r="AE14" i="2"/>
  <c r="AF14" i="2"/>
  <c r="O14" i="2"/>
  <c r="P4" i="2"/>
  <c r="Q4" i="2"/>
  <c r="J5" i="2" s="1"/>
  <c r="R4" i="2"/>
  <c r="S4" i="2"/>
  <c r="T4" i="2"/>
  <c r="U4" i="2"/>
  <c r="V4" i="2"/>
  <c r="W4" i="2"/>
  <c r="X4" i="2"/>
  <c r="Y4" i="2"/>
  <c r="Z4" i="2"/>
  <c r="AA4" i="2"/>
  <c r="AB4" i="2"/>
  <c r="AC4" i="2"/>
  <c r="AD4" i="2"/>
  <c r="AE4" i="2"/>
  <c r="AF4" i="2"/>
  <c r="O4" i="2"/>
  <c r="E32" i="1"/>
  <c r="F32" i="1" s="1"/>
  <c r="G32" i="1" s="1"/>
  <c r="H32" i="1" s="1"/>
  <c r="I32" i="1" s="1"/>
  <c r="J32" i="1" s="1"/>
  <c r="K32" i="1" s="1"/>
  <c r="L32" i="1" s="1"/>
  <c r="M32" i="1" s="1"/>
  <c r="N32" i="1" s="1"/>
  <c r="O32" i="1" s="1"/>
  <c r="P32" i="1" s="1"/>
  <c r="Q32" i="1" s="1"/>
  <c r="R32" i="1" s="1"/>
  <c r="S32" i="1" s="1"/>
  <c r="T32" i="1" s="1"/>
  <c r="U32" i="1" s="1"/>
  <c r="V32" i="1" s="1"/>
  <c r="E34" i="1"/>
  <c r="F34" i="1" s="1"/>
  <c r="G34" i="1" s="1"/>
  <c r="H34" i="1" s="1"/>
  <c r="I34" i="1" s="1"/>
  <c r="J34" i="1" s="1"/>
  <c r="K34" i="1" s="1"/>
  <c r="L34" i="1" s="1"/>
  <c r="M34" i="1" s="1"/>
  <c r="N34" i="1" s="1"/>
  <c r="O34" i="1" s="1"/>
  <c r="P34" i="1" s="1"/>
  <c r="Q34" i="1" s="1"/>
  <c r="R34" i="1" s="1"/>
  <c r="S34" i="1" s="1"/>
  <c r="T34" i="1" s="1"/>
  <c r="U34" i="1" s="1"/>
  <c r="V34" i="1" s="1"/>
  <c r="E31" i="1"/>
  <c r="F31" i="1" s="1"/>
  <c r="G31" i="1" s="1"/>
  <c r="H31" i="1" s="1"/>
  <c r="I31" i="1" s="1"/>
  <c r="J31" i="1" s="1"/>
  <c r="K31" i="1" s="1"/>
  <c r="L31" i="1" s="1"/>
  <c r="M31" i="1" s="1"/>
  <c r="N31" i="1" s="1"/>
  <c r="O31" i="1" s="1"/>
  <c r="P31" i="1" s="1"/>
  <c r="Q31" i="1" s="1"/>
  <c r="R31" i="1" s="1"/>
  <c r="S31" i="1" s="1"/>
  <c r="T31" i="1" s="1"/>
  <c r="U31" i="1" s="1"/>
  <c r="V31" i="1" s="1"/>
  <c r="F28" i="1"/>
  <c r="J3" i="1" l="1"/>
  <c r="J6" i="1" s="1"/>
  <c r="F15" i="1"/>
  <c r="P7" i="2"/>
  <c r="I10" i="1"/>
  <c r="R15" i="2"/>
  <c r="I4" i="1"/>
  <c r="Q19" i="2"/>
  <c r="Q22" i="2" s="1"/>
  <c r="R18" i="2"/>
  <c r="P10" i="2"/>
  <c r="F9" i="1" s="1"/>
  <c r="O10" i="2"/>
  <c r="E9" i="1" s="1"/>
  <c r="J11" i="2"/>
  <c r="O7" i="2"/>
  <c r="G28" i="1"/>
  <c r="Q10" i="2" s="1"/>
  <c r="G9" i="1" s="1"/>
  <c r="K3" i="1" l="1"/>
  <c r="K6" i="1" s="1"/>
  <c r="G15" i="1"/>
  <c r="Q7" i="2"/>
  <c r="J10" i="1"/>
  <c r="S15" i="2"/>
  <c r="J4" i="1"/>
  <c r="C48" i="2"/>
  <c r="C50" i="2" s="1"/>
  <c r="R19" i="2"/>
  <c r="R22" i="2" s="1"/>
  <c r="S18" i="2"/>
  <c r="J14" i="2"/>
  <c r="J16" i="2"/>
  <c r="J12" i="2"/>
  <c r="J6" i="2"/>
  <c r="J8" i="2"/>
  <c r="J3" i="2"/>
  <c r="J18" i="2"/>
  <c r="J4" i="2"/>
  <c r="J20" i="2"/>
  <c r="J7" i="2"/>
  <c r="J13" i="2"/>
  <c r="J15" i="2"/>
  <c r="J9" i="2"/>
  <c r="J19" i="2"/>
  <c r="J10" i="2"/>
  <c r="J17" i="2"/>
  <c r="P5" i="2"/>
  <c r="O5" i="2"/>
  <c r="H28" i="1"/>
  <c r="Q5" i="2"/>
  <c r="L3" i="1" l="1"/>
  <c r="L6" i="1" s="1"/>
  <c r="H15" i="1"/>
  <c r="C52" i="2"/>
  <c r="C53" i="2" s="1"/>
  <c r="R10" i="2"/>
  <c r="H9" i="1" s="1"/>
  <c r="R7" i="2"/>
  <c r="K10" i="1"/>
  <c r="T15" i="2"/>
  <c r="K4" i="1"/>
  <c r="S19" i="2"/>
  <c r="S22" i="2" s="1"/>
  <c r="T18" i="2"/>
  <c r="P8" i="2"/>
  <c r="P6" i="2" s="1"/>
  <c r="O8" i="2"/>
  <c r="O9" i="2" s="1"/>
  <c r="O12" i="2" s="1"/>
  <c r="Q8" i="2"/>
  <c r="Q9" i="2" s="1"/>
  <c r="Q12" i="2" s="1"/>
  <c r="I28" i="1"/>
  <c r="S7" i="2" s="1"/>
  <c r="R5" i="2"/>
  <c r="O13" i="2" l="1"/>
  <c r="O21" i="2" s="1"/>
  <c r="Q13" i="2"/>
  <c r="M3" i="1"/>
  <c r="M6" i="1" s="1"/>
  <c r="I15" i="1"/>
  <c r="L10" i="1"/>
  <c r="U15" i="2"/>
  <c r="L4" i="1"/>
  <c r="S10" i="2"/>
  <c r="I9" i="1" s="1"/>
  <c r="S5" i="2"/>
  <c r="T19" i="2"/>
  <c r="T22" i="2" s="1"/>
  <c r="U18" i="2"/>
  <c r="P9" i="2"/>
  <c r="O6" i="2"/>
  <c r="Q6" i="2"/>
  <c r="R8" i="2"/>
  <c r="R6" i="2" s="1"/>
  <c r="J28" i="1"/>
  <c r="P12" i="2" l="1"/>
  <c r="P13" i="2" s="1"/>
  <c r="P21" i="2" s="1"/>
  <c r="G4" i="2" s="1"/>
  <c r="H4" i="2" s="1"/>
  <c r="I4" i="2" s="1"/>
  <c r="G3" i="2"/>
  <c r="H3" i="2" s="1"/>
  <c r="I3" i="2" s="1"/>
  <c r="N3" i="1"/>
  <c r="N6" i="1" s="1"/>
  <c r="J15" i="1"/>
  <c r="T10" i="2"/>
  <c r="J9" i="1" s="1"/>
  <c r="T7" i="2"/>
  <c r="M10" i="1"/>
  <c r="V15" i="2"/>
  <c r="K4" i="2"/>
  <c r="K3" i="2"/>
  <c r="Q21" i="2"/>
  <c r="G5" i="2" s="1"/>
  <c r="H5" i="2" s="1"/>
  <c r="I5" i="2" s="1"/>
  <c r="K5" i="2"/>
  <c r="M4" i="1"/>
  <c r="U19" i="2"/>
  <c r="U22" i="2" s="1"/>
  <c r="V18" i="2"/>
  <c r="K28" i="1"/>
  <c r="T5" i="2"/>
  <c r="S8" i="2"/>
  <c r="S6" i="2" s="1"/>
  <c r="R9" i="2"/>
  <c r="R12" i="2" s="1"/>
  <c r="R13" i="2" s="1"/>
  <c r="L3" i="2" l="1"/>
  <c r="L5" i="2"/>
  <c r="L4" i="2"/>
  <c r="R21" i="2"/>
  <c r="G6" i="2" s="1"/>
  <c r="O3" i="1"/>
  <c r="O6" i="1" s="1"/>
  <c r="K15" i="1"/>
  <c r="U10" i="2"/>
  <c r="K9" i="1" s="1"/>
  <c r="U7" i="2"/>
  <c r="N10" i="1"/>
  <c r="W15" i="2"/>
  <c r="K6" i="2"/>
  <c r="N4" i="1"/>
  <c r="V19" i="2"/>
  <c r="V22" i="2" s="1"/>
  <c r="W18" i="2"/>
  <c r="T8" i="2"/>
  <c r="T9" i="2" s="1"/>
  <c r="T12" i="2" s="1"/>
  <c r="S9" i="2"/>
  <c r="L28" i="1"/>
  <c r="U5" i="2"/>
  <c r="T13" i="2" l="1"/>
  <c r="S12" i="2"/>
  <c r="S13" i="2" s="1"/>
  <c r="P3" i="1"/>
  <c r="P6" i="1" s="1"/>
  <c r="L15" i="1"/>
  <c r="V10" i="2"/>
  <c r="L9" i="1" s="1"/>
  <c r="V7" i="2"/>
  <c r="O10" i="1"/>
  <c r="X15" i="2"/>
  <c r="O4" i="1"/>
  <c r="W19" i="2"/>
  <c r="W22" i="2" s="1"/>
  <c r="X18" i="2"/>
  <c r="T6" i="2"/>
  <c r="H6" i="2"/>
  <c r="I6" i="2" s="1"/>
  <c r="U8" i="2"/>
  <c r="U6" i="2" s="1"/>
  <c r="M28" i="1"/>
  <c r="V5" i="2"/>
  <c r="L6" i="2" l="1"/>
  <c r="Q3" i="1"/>
  <c r="Q6" i="1" s="1"/>
  <c r="M15" i="1"/>
  <c r="W10" i="2"/>
  <c r="M9" i="1" s="1"/>
  <c r="W7" i="2"/>
  <c r="P10" i="1"/>
  <c r="Y15" i="2"/>
  <c r="S21" i="2"/>
  <c r="G7" i="2" s="1"/>
  <c r="H7" i="2" s="1"/>
  <c r="K7" i="2"/>
  <c r="K8" i="2"/>
  <c r="T21" i="2"/>
  <c r="G8" i="2" s="1"/>
  <c r="H8" i="2" s="1"/>
  <c r="I8" i="2" s="1"/>
  <c r="P4" i="1"/>
  <c r="X19" i="2"/>
  <c r="X22" i="2" s="1"/>
  <c r="Y18" i="2"/>
  <c r="V8" i="2"/>
  <c r="V6" i="2" s="1"/>
  <c r="U9" i="2"/>
  <c r="N28" i="1"/>
  <c r="W5" i="2"/>
  <c r="U12" i="2" l="1"/>
  <c r="U13" i="2" s="1"/>
  <c r="U21" i="2" s="1"/>
  <c r="L8" i="2"/>
  <c r="L7" i="2"/>
  <c r="R3" i="1"/>
  <c r="R6" i="1" s="1"/>
  <c r="N15" i="1"/>
  <c r="I7" i="2"/>
  <c r="X10" i="2"/>
  <c r="N9" i="1" s="1"/>
  <c r="X7" i="2"/>
  <c r="Q10" i="1"/>
  <c r="Z15" i="2"/>
  <c r="K9" i="2"/>
  <c r="Q4" i="1"/>
  <c r="Y19" i="2"/>
  <c r="Y22" i="2" s="1"/>
  <c r="Z18" i="2"/>
  <c r="W8" i="2"/>
  <c r="W9" i="2" s="1"/>
  <c r="W12" i="2" s="1"/>
  <c r="V9" i="2"/>
  <c r="O28" i="1"/>
  <c r="X5" i="2"/>
  <c r="W13" i="2" l="1"/>
  <c r="V12" i="2"/>
  <c r="V13" i="2" s="1"/>
  <c r="S3" i="1"/>
  <c r="S6" i="1" s="1"/>
  <c r="O15" i="1"/>
  <c r="Y10" i="2"/>
  <c r="O9" i="1" s="1"/>
  <c r="Y7" i="2"/>
  <c r="R10" i="1"/>
  <c r="AA15" i="2"/>
  <c r="K10" i="2"/>
  <c r="V21" i="2"/>
  <c r="R4" i="1"/>
  <c r="Z19" i="2"/>
  <c r="Z22" i="2" s="1"/>
  <c r="AA18" i="2"/>
  <c r="W6" i="2"/>
  <c r="G9" i="2"/>
  <c r="H9" i="2" s="1"/>
  <c r="I9" i="2" s="1"/>
  <c r="X8" i="2"/>
  <c r="X9" i="2" s="1"/>
  <c r="X12" i="2" s="1"/>
  <c r="P28" i="1"/>
  <c r="Y5" i="2"/>
  <c r="X13" i="2" l="1"/>
  <c r="L9" i="2"/>
  <c r="T3" i="1"/>
  <c r="T6" i="1" s="1"/>
  <c r="P15" i="1"/>
  <c r="Z10" i="2"/>
  <c r="P9" i="1" s="1"/>
  <c r="Z7" i="2"/>
  <c r="S10" i="1"/>
  <c r="AB15" i="2"/>
  <c r="K11" i="2"/>
  <c r="W21" i="2"/>
  <c r="G11" i="2" s="1"/>
  <c r="H11" i="2" s="1"/>
  <c r="I11" i="2" s="1"/>
  <c r="S4" i="1"/>
  <c r="AA19" i="2"/>
  <c r="AA22" i="2" s="1"/>
  <c r="AB18" i="2"/>
  <c r="X6" i="2"/>
  <c r="G10" i="2"/>
  <c r="H10" i="2" s="1"/>
  <c r="I10" i="2" s="1"/>
  <c r="Y8" i="2"/>
  <c r="Y9" i="2" s="1"/>
  <c r="Y12" i="2" s="1"/>
  <c r="Q28" i="1"/>
  <c r="Z5" i="2"/>
  <c r="Y13" i="2" l="1"/>
  <c r="L11" i="2"/>
  <c r="L10" i="2"/>
  <c r="U3" i="1"/>
  <c r="U6" i="1" s="1"/>
  <c r="Q15" i="1"/>
  <c r="AA10" i="2"/>
  <c r="Q9" i="1" s="1"/>
  <c r="AA7" i="2"/>
  <c r="T10" i="1"/>
  <c r="AC15" i="2"/>
  <c r="K12" i="2"/>
  <c r="X21" i="2"/>
  <c r="G12" i="2" s="1"/>
  <c r="H12" i="2" s="1"/>
  <c r="I12" i="2" s="1"/>
  <c r="T4" i="1"/>
  <c r="AB19" i="2"/>
  <c r="AB22" i="2" s="1"/>
  <c r="AC18" i="2"/>
  <c r="Y6" i="2"/>
  <c r="R28" i="1"/>
  <c r="AA5" i="2"/>
  <c r="Z8" i="2"/>
  <c r="Z6" i="2" s="1"/>
  <c r="L12" i="2" l="1"/>
  <c r="V3" i="1"/>
  <c r="V6" i="1" s="1"/>
  <c r="R15" i="1"/>
  <c r="AB10" i="2"/>
  <c r="R9" i="1" s="1"/>
  <c r="AB7" i="2"/>
  <c r="U10" i="1"/>
  <c r="AD15" i="2"/>
  <c r="K13" i="2"/>
  <c r="Y21" i="2"/>
  <c r="G13" i="2" s="1"/>
  <c r="H13" i="2" s="1"/>
  <c r="I13" i="2" s="1"/>
  <c r="U4" i="1"/>
  <c r="AC19" i="2"/>
  <c r="AC22" i="2" s="1"/>
  <c r="AD18" i="2"/>
  <c r="Z9" i="2"/>
  <c r="S28" i="1"/>
  <c r="AB5" i="2"/>
  <c r="AA8" i="2"/>
  <c r="AA6" i="2" s="1"/>
  <c r="Z12" i="2" l="1"/>
  <c r="Z13" i="2" s="1"/>
  <c r="L13" i="2"/>
  <c r="S15" i="1"/>
  <c r="AC10" i="2"/>
  <c r="S9" i="1" s="1"/>
  <c r="AC7" i="2"/>
  <c r="V10" i="1"/>
  <c r="AE15" i="2"/>
  <c r="V4" i="1"/>
  <c r="AD19" i="2"/>
  <c r="AD22" i="2" s="1"/>
  <c r="AE18" i="2"/>
  <c r="AF18" i="2"/>
  <c r="AB8" i="2"/>
  <c r="AB9" i="2" s="1"/>
  <c r="AB12" i="2" s="1"/>
  <c r="AA9" i="2"/>
  <c r="T28" i="1"/>
  <c r="AC5" i="2"/>
  <c r="AB13" i="2" l="1"/>
  <c r="AA12" i="2"/>
  <c r="AA13" i="2" s="1"/>
  <c r="T15" i="1"/>
  <c r="AD10" i="2"/>
  <c r="T9" i="1" s="1"/>
  <c r="AD7" i="2"/>
  <c r="AF15" i="2"/>
  <c r="Z21" i="2"/>
  <c r="G14" i="2" s="1"/>
  <c r="H14" i="2" s="1"/>
  <c r="I14" i="2" s="1"/>
  <c r="K14" i="2"/>
  <c r="AE19" i="2"/>
  <c r="AE22" i="2" s="1"/>
  <c r="AF19" i="2"/>
  <c r="AF22" i="2" s="1"/>
  <c r="AB6" i="2"/>
  <c r="AC8" i="2"/>
  <c r="AC6" i="2" s="1"/>
  <c r="U28" i="1"/>
  <c r="AD5" i="2"/>
  <c r="L14" i="2" l="1"/>
  <c r="U15" i="1"/>
  <c r="AE10" i="2"/>
  <c r="U9" i="1" s="1"/>
  <c r="AE7" i="2"/>
  <c r="AA21" i="2"/>
  <c r="G15" i="2" s="1"/>
  <c r="H15" i="2" s="1"/>
  <c r="I15" i="2" s="1"/>
  <c r="K15" i="2"/>
  <c r="K16" i="2"/>
  <c r="AB21" i="2"/>
  <c r="G16" i="2" s="1"/>
  <c r="H16" i="2" s="1"/>
  <c r="I16" i="2" s="1"/>
  <c r="AD8" i="2"/>
  <c r="AD9" i="2" s="1"/>
  <c r="AD12" i="2" s="1"/>
  <c r="V28" i="1"/>
  <c r="AE5" i="2"/>
  <c r="AC9" i="2"/>
  <c r="AD13" i="2" l="1"/>
  <c r="AC21" i="2"/>
  <c r="AC12" i="2"/>
  <c r="AC13" i="2" s="1"/>
  <c r="L16" i="2"/>
  <c r="L15" i="2"/>
  <c r="V15" i="1"/>
  <c r="AF10" i="2"/>
  <c r="V9" i="1" s="1"/>
  <c r="AF7" i="2"/>
  <c r="K17" i="2"/>
  <c r="AD6" i="2"/>
  <c r="AE8" i="2"/>
  <c r="AE9" i="2" s="1"/>
  <c r="AE12" i="2" s="1"/>
  <c r="AF5" i="2"/>
  <c r="AE13" i="2" l="1"/>
  <c r="AE21" i="2" s="1"/>
  <c r="K18" i="2"/>
  <c r="AD21" i="2"/>
  <c r="G18" i="2" s="1"/>
  <c r="H18" i="2" s="1"/>
  <c r="I18" i="2" s="1"/>
  <c r="AE6" i="2"/>
  <c r="G17" i="2"/>
  <c r="H17" i="2" s="1"/>
  <c r="I17" i="2" s="1"/>
  <c r="AF8" i="2"/>
  <c r="AF9" i="2" s="1"/>
  <c r="AF12" i="2" s="1"/>
  <c r="AF13" i="2" l="1"/>
  <c r="L18" i="2"/>
  <c r="L17" i="2"/>
  <c r="K19" i="2"/>
  <c r="G19" i="2"/>
  <c r="H19" i="2" s="1"/>
  <c r="I19" i="2" s="1"/>
  <c r="AF6" i="2"/>
  <c r="L19" i="2" l="1"/>
  <c r="K20" i="2"/>
  <c r="AF21" i="2"/>
  <c r="G20" i="2" s="1"/>
  <c r="H20" i="2" s="1"/>
  <c r="L20" i="2" l="1"/>
  <c r="I2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Stegers</author>
  </authors>
  <commentList>
    <comment ref="B3" authorId="0" shapeId="0" xr:uid="{FD8303D2-5F3A-4F38-BD8E-E67507A112B9}">
      <text>
        <r>
          <rPr>
            <b/>
            <sz val="9"/>
            <color indexed="81"/>
            <rFont val="Tahoma"/>
            <family val="2"/>
          </rPr>
          <t>Paul Stegers:</t>
        </r>
        <r>
          <rPr>
            <sz val="9"/>
            <color indexed="81"/>
            <rFont val="Tahoma"/>
            <family val="2"/>
          </rPr>
          <t xml:space="preserve">
Vul hier in welke prijzen gelden voor de verschillende componenten over de jaren. Vul ook de indexatie in voor de verschillende onderdelen en maak een keuze of je de indexatie mee wilt nemen in de berekening.</t>
        </r>
      </text>
    </comment>
    <comment ref="B13" authorId="0" shapeId="0" xr:uid="{EF5982C4-3FC2-4089-9011-E3929C49CE0F}">
      <text>
        <r>
          <rPr>
            <b/>
            <sz val="9"/>
            <color indexed="81"/>
            <rFont val="Tahoma"/>
            <family val="2"/>
          </rPr>
          <t>Paul Stegers:</t>
        </r>
        <r>
          <rPr>
            <sz val="9"/>
            <color indexed="81"/>
            <rFont val="Tahoma"/>
            <family val="2"/>
          </rPr>
          <t xml:space="preserve">
Via website Liander.</t>
        </r>
      </text>
    </comment>
    <comment ref="B14" authorId="0" shapeId="0" xr:uid="{97B58BF1-4D5B-4BC5-B62A-3C06588BBC37}">
      <text>
        <r>
          <rPr>
            <b/>
            <sz val="9"/>
            <color indexed="81"/>
            <rFont val="Tahoma"/>
            <family val="2"/>
          </rPr>
          <t>Paul Stegers:</t>
        </r>
        <r>
          <rPr>
            <sz val="9"/>
            <color indexed="81"/>
            <rFont val="Tahoma"/>
            <family val="2"/>
          </rPr>
          <t xml:space="preserve">
Via berekening Independer op 29-01-2026 voor een vast contract van 1 jaar bij Eneco.</t>
        </r>
      </text>
    </comment>
    <comment ref="B15" authorId="0" shapeId="0" xr:uid="{5B524D23-DCD8-4B9E-A58B-25E71DE63423}">
      <text>
        <r>
          <rPr>
            <b/>
            <sz val="9"/>
            <color indexed="81"/>
            <rFont val="Tahoma"/>
            <charset val="1"/>
          </rPr>
          <t>Paul Stegers:</t>
        </r>
        <r>
          <rPr>
            <sz val="9"/>
            <color indexed="81"/>
            <rFont val="Tahoma"/>
            <charset val="1"/>
          </rPr>
          <t xml:space="preserve">
Zit verwerkt in het scenario, omdat er verschil zit als je minder of meer dan 500 kuub verbruikt.</t>
        </r>
      </text>
    </comment>
    <comment ref="B16" authorId="0" shapeId="0" xr:uid="{70C7D312-73A3-423B-A953-283659AFF093}">
      <text>
        <r>
          <rPr>
            <b/>
            <sz val="9"/>
            <color indexed="81"/>
            <rFont val="Tahoma"/>
            <family val="2"/>
          </rPr>
          <t>Paul Stegers:</t>
        </r>
        <r>
          <rPr>
            <sz val="9"/>
            <color indexed="81"/>
            <rFont val="Tahoma"/>
            <family val="2"/>
          </rPr>
          <t xml:space="preserve">
Warmte en warm water plus het meettarief en huur afleverset.</t>
        </r>
      </text>
    </comment>
    <comment ref="B24" authorId="0" shapeId="0" xr:uid="{BA2A019B-8C25-49E9-8F44-3BEA27AE3C9B}">
      <text>
        <r>
          <rPr>
            <b/>
            <sz val="9"/>
            <color indexed="81"/>
            <rFont val="Tahoma"/>
            <family val="2"/>
          </rPr>
          <t>Paul Stegers:</t>
        </r>
        <r>
          <rPr>
            <sz val="9"/>
            <color indexed="81"/>
            <rFont val="Tahoma"/>
            <family val="2"/>
          </rPr>
          <t xml:space="preserve">
Vul hier het vermogen van een enkel zonnepaneel in, en het vermogensverlies per jaar van de zonnepanelen. Vul per jaar in hoeveel procent van de opgewekte stroom direct zelf gebruikt wordt.</t>
        </r>
      </text>
    </comment>
    <comment ref="B30" authorId="0" shapeId="0" xr:uid="{1A29CF06-83C0-47E6-AC59-B459C6FF50BC}">
      <text>
        <r>
          <rPr>
            <b/>
            <sz val="9"/>
            <color indexed="81"/>
            <rFont val="Tahoma"/>
            <family val="2"/>
          </rPr>
          <t>Paul Stegers:</t>
        </r>
        <r>
          <rPr>
            <sz val="9"/>
            <color indexed="81"/>
            <rFont val="Tahoma"/>
            <family val="2"/>
          </rPr>
          <t xml:space="preserve">
Vul hier de huurverhogingen in die gerekend worden voor de warmtepompen en de zonnepanelen, en de stijging van de huur per jaar.</t>
        </r>
      </text>
    </comment>
    <comment ref="B37" authorId="0" shapeId="0" xr:uid="{844B1644-6038-4804-91F0-35BB5393DBE5}">
      <text>
        <r>
          <rPr>
            <b/>
            <sz val="9"/>
            <color indexed="81"/>
            <rFont val="Tahoma"/>
            <family val="2"/>
          </rPr>
          <t>Paul Stegers:</t>
        </r>
        <r>
          <rPr>
            <sz val="9"/>
            <color indexed="81"/>
            <rFont val="Tahoma"/>
            <family val="2"/>
          </rPr>
          <t xml:space="preserve">
Vul hier het rendement (COP) van de warmtepomp in.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 Stegers</author>
  </authors>
  <commentList>
    <comment ref="B3" authorId="0" shapeId="0" xr:uid="{C08F29BB-7949-4154-A18E-B1EFF0AAC5E4}">
      <text>
        <r>
          <rPr>
            <b/>
            <sz val="9"/>
            <color indexed="81"/>
            <rFont val="Tahoma"/>
            <family val="2"/>
          </rPr>
          <t>Paul Stegers:</t>
        </r>
        <r>
          <rPr>
            <sz val="9"/>
            <color indexed="81"/>
            <rFont val="Tahoma"/>
            <family val="2"/>
          </rPr>
          <t xml:space="preserve">
Vul hier in hoeveel verbruik de woning heeft met een gasketel.</t>
        </r>
      </text>
    </comment>
    <comment ref="B7" authorId="0" shapeId="0" xr:uid="{08EE1F31-476C-4D41-85ED-A7FEAFE0D60B}">
      <text>
        <r>
          <rPr>
            <b/>
            <sz val="9"/>
            <color indexed="81"/>
            <rFont val="Tahoma"/>
            <family val="2"/>
          </rPr>
          <t>Paul Stegers:</t>
        </r>
        <r>
          <rPr>
            <sz val="9"/>
            <color indexed="81"/>
            <rFont val="Tahoma"/>
            <family val="2"/>
          </rPr>
          <t xml:space="preserve">
Vul hier in hoe de woning verwarmd wordt. Vul hier ook het aantal zonnepanelen in.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<sst xmlns="http://schemas.openxmlformats.org/spreadsheetml/2006/main" count="128" uniqueCount="94">
  <si>
    <t>Energiekosten</t>
  </si>
  <si>
    <t>Elektraprijs</t>
  </si>
  <si>
    <t>kWh</t>
  </si>
  <si>
    <t>Terugleverboete</t>
  </si>
  <si>
    <t>Ja</t>
  </si>
  <si>
    <t>maandelijks</t>
  </si>
  <si>
    <t>Gasprijs</t>
  </si>
  <si>
    <r>
      <t>m</t>
    </r>
    <r>
      <rPr>
        <vertAlign val="superscript"/>
        <sz val="11"/>
        <color theme="1"/>
        <rFont val="Calibri"/>
        <family val="2"/>
        <scheme val="minor"/>
      </rPr>
      <t>3</t>
    </r>
  </si>
  <si>
    <t>Warmtetarief</t>
  </si>
  <si>
    <t>GJ</t>
  </si>
  <si>
    <t>Vastrecht elektra</t>
  </si>
  <si>
    <t>jaarlijks</t>
  </si>
  <si>
    <t>Netbeheerkosten</t>
  </si>
  <si>
    <t>dag</t>
  </si>
  <si>
    <t>Vaste leveringskosten</t>
  </si>
  <si>
    <t>Vastrecht gas</t>
  </si>
  <si>
    <t>Vastrecht warmte</t>
  </si>
  <si>
    <t>Vermindering energiebelasting</t>
  </si>
  <si>
    <t>Indexatie elektraprijs</t>
  </si>
  <si>
    <t>Indexatie gasprijs</t>
  </si>
  <si>
    <t>Indexatie warmteprijs</t>
  </si>
  <si>
    <t>Indexatie overige</t>
  </si>
  <si>
    <t>Prijsindexatie aanzetten?</t>
  </si>
  <si>
    <t>Zonnepanelen</t>
  </si>
  <si>
    <t>Vermogen</t>
  </si>
  <si>
    <t>Wp</t>
  </si>
  <si>
    <t>Saldering</t>
  </si>
  <si>
    <t>Eigen gebruik</t>
  </si>
  <si>
    <t>Vermogensverlies</t>
  </si>
  <si>
    <t>%/jaar</t>
  </si>
  <si>
    <t>Huurcomponenten</t>
  </si>
  <si>
    <t>Warmtepomp hybride</t>
  </si>
  <si>
    <t>Warmtepomp all electric</t>
  </si>
  <si>
    <t>Warmtenet</t>
  </si>
  <si>
    <t>stuk</t>
  </si>
  <si>
    <t>Huurstijging</t>
  </si>
  <si>
    <t>Warmtepomp</t>
  </si>
  <si>
    <t>COP</t>
  </si>
  <si>
    <t>Gasbesparing hybride</t>
  </si>
  <si>
    <t>Jaarlijks</t>
  </si>
  <si>
    <t>Totaal</t>
  </si>
  <si>
    <t>Energielasten</t>
  </si>
  <si>
    <t>Huur</t>
  </si>
  <si>
    <t>Huidige situatie gas</t>
  </si>
  <si>
    <t>Standaard verbruik</t>
  </si>
  <si>
    <t>Huurcomponent warmtepomp</t>
  </si>
  <si>
    <t>Elektra</t>
  </si>
  <si>
    <t>Huurcomponent zonnepanelen</t>
  </si>
  <si>
    <t>Gas</t>
  </si>
  <si>
    <t>Inkoop stroom (kWh)</t>
  </si>
  <si>
    <t>Inkoop stroom daadwerkelijk (kWh)</t>
  </si>
  <si>
    <t>Saldering (kWh)</t>
  </si>
  <si>
    <t>Aantal zonnepanelen</t>
  </si>
  <si>
    <t>Saldering daadwerkelijk (kWh)</t>
  </si>
  <si>
    <t>Stroomverbruik bruto jaar 1</t>
  </si>
  <si>
    <t>Teruglevering (kWh)</t>
  </si>
  <si>
    <t>Opwek jaar 1</t>
  </si>
  <si>
    <t>Teruglevering voor boete (kWh)</t>
  </si>
  <si>
    <t>Teruglevering jaar 1</t>
  </si>
  <si>
    <t>Terugleverboete (€)</t>
  </si>
  <si>
    <t>Stroomverbruik netto jaar 1</t>
  </si>
  <si>
    <t>Inkoop stroom (€)</t>
  </si>
  <si>
    <t>Vastrecht elektra (€)</t>
  </si>
  <si>
    <t>Inkoop gas (€)</t>
  </si>
  <si>
    <t>Inkoop warmte (€)</t>
  </si>
  <si>
    <t>Vastrecht gas (€)</t>
  </si>
  <si>
    <t>Vastrecht warmte (€)</t>
  </si>
  <si>
    <t>Vermindering energiebelasting (€)</t>
  </si>
  <si>
    <t>Vastrecht gasreferentie</t>
  </si>
  <si>
    <t>Referentie gas</t>
  </si>
  <si>
    <t>Co2 uitstoot electra</t>
  </si>
  <si>
    <t>kg/kwh</t>
  </si>
  <si>
    <t>https://www.co2emissiefactoren.nl/lijst-emissiefactoren/</t>
  </si>
  <si>
    <t>Co2 uitstoot gas</t>
  </si>
  <si>
    <t>kg/m3</t>
  </si>
  <si>
    <t>Co2 uitstoot warmtenet</t>
  </si>
  <si>
    <t>KG/GJ</t>
  </si>
  <si>
    <t>C02 uitstoot huidig</t>
  </si>
  <si>
    <t>KG</t>
  </si>
  <si>
    <t xml:space="preserve">Co2 uitstoot gas nieuw </t>
  </si>
  <si>
    <t xml:space="preserve">Co2 uitstoot electra nieuw </t>
  </si>
  <si>
    <t xml:space="preserve">Co2 uitstoot wamtenet nieuw </t>
  </si>
  <si>
    <t>Co2 uitstoot nieuw</t>
  </si>
  <si>
    <t>Co2 besparing</t>
  </si>
  <si>
    <t>Hybride</t>
  </si>
  <si>
    <t>prijsupdate 1-2-2026</t>
  </si>
  <si>
    <t>Terugleververgoeding 2026</t>
  </si>
  <si>
    <t>Terugleververgoeding 2027</t>
  </si>
  <si>
    <t>Maandelijks</t>
  </si>
  <si>
    <r>
      <rPr>
        <b/>
        <sz val="11"/>
        <color theme="9"/>
        <rFont val="Calibri"/>
        <family val="2"/>
        <scheme val="minor"/>
      </rPr>
      <t>Voordeel</t>
    </r>
    <r>
      <rPr>
        <b/>
        <sz val="11"/>
        <color theme="1"/>
        <rFont val="Calibri"/>
        <family val="2"/>
        <scheme val="minor"/>
      </rPr>
      <t>/</t>
    </r>
    <r>
      <rPr>
        <b/>
        <sz val="11"/>
        <color rgb="FFFF0000"/>
        <rFont val="Calibri"/>
        <family val="2"/>
        <scheme val="minor"/>
      </rPr>
      <t>nadeel</t>
    </r>
  </si>
  <si>
    <t>Teruglevering (€)</t>
  </si>
  <si>
    <t>Terugleverboete 2026</t>
  </si>
  <si>
    <t>Terugleverboete 2027</t>
  </si>
  <si>
    <t>LET OP! Wijzig alleen de cellen met een oranje kleur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</si>
</sst>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43" formatCode="_ * #,##0.00_ ;_ * \-#,##0.00_ ;_ * &quot;-&quot;??_ ;_ @_ "/>
    <numFmt numFmtId="164" formatCode="_ &quot;€&quot;\ * #,##0.0000_ ;_ &quot;€&quot;\ * \-#,##0.0000_ ;_ &quot;€&quot;\ * &quot;-&quot;??_ ;_ @_ "/>
    <numFmt numFmtId="165" formatCode="_ * #,##0_ ;_ * \-#,##0_ ;_ * &quot;-&quot;??_ ;_ @_ "/>
    <numFmt numFmtId="166" formatCode="0.0"/>
    <numFmt numFmtId="167" formatCode="0.00000"/>
    <numFmt numFmtId="168" formatCode="_ &quot;€&quot;\ * #,##0.00000_ ;_ &quot;€&quot;\ * \-#,##0.00000_ ;_ &quot;€&quot;\ * &quot;-&quot;??_ ;_ @_ "/>
  </numFmts>
  <fonts count="17" x14ac:knownFonts="1">
    <font>
      <sz val="11"/>
      <color theme="1"/>
      <name val="Calibri"/>
      <family val="2"/>
      <scheme val="minor"/>
    </font>
    <font>
      <sz val="11"/>
      <color theme="1"/>
      <name val="Calibri"/>
      <family val="2"/>
      <scheme val="minor"/>
    </font>
    <font>
      <b/>
      <sz val="11"/>
      <color theme="1"/>
      <name val="Calibri"/>
      <family val="2"/>
      <scheme val="minor"/>
    </font>
    <font>
      <vertAlign val="superscript"/>
      <sz val="11"/>
      <color theme="1"/>
      <name val="Calibri"/>
      <family val="2"/>
      <scheme val="minor"/>
    </font>
    <font>
      <sz val="11"/>
      <color theme="0" tint="-0.249977111117893"/>
      <name val="Calibri"/>
      <family val="2"/>
      <scheme val="minor"/>
    </font>
    <font>
      <sz val="9"/>
      <color indexed="81"/>
      <name val="Tahoma"/>
      <family val="2"/>
    </font>
    <font>
      <b/>
      <sz val="9"/>
      <color indexed="81"/>
      <name val="Tahoma"/>
      <family val="2"/>
    </font>
    <font>
      <b/>
      <sz val="11"/>
      <color theme="0" tint="-0.499984740745262"/>
      <name val="Calibri"/>
      <family val="2"/>
      <scheme val="minor"/>
    </font>
    <font>
      <sz val="11"/>
      <color theme="0" tint="-0.499984740745262"/>
      <name val="Calibri"/>
      <family val="2"/>
      <scheme val="minor"/>
    </font>
    <font>
      <sz val="11"/>
      <color rgb="FFFF0000"/>
      <name val="Calibri"/>
      <family val="2"/>
      <scheme val="minor"/>
    </font>
    <font>
      <b/>
      <sz val="11"/>
      <color rgb="FFFF0000"/>
      <name val="Calibri"/>
      <family val="2"/>
      <scheme val="minor"/>
    </font>
    <font>
      <u/>
      <sz val="11"/>
      <color theme="10"/>
      <name val="Calibri"/>
      <family val="2"/>
      <scheme val="minor"/>
    </font>
    <font>
      <sz val="11"/>
      <color theme="0" tint="-0.34998626667073579"/>
      <name val="Calibri"/>
      <family val="2"/>
      <scheme val="minor"/>
    </font>
    <font>
      <sz val="11"/>
      <color rgb="FF000000"/>
      <name val="Calibri"/>
      <family val="2"/>
      <scheme val="minor"/>
    </font>
    <font>
      <sz val="9"/>
      <color indexed="81"/>
      <name val="Tahoma"/>
      <charset val="1"/>
    </font>
    <font>
      <b/>
      <sz val="9"/>
      <color indexed="81"/>
      <name val="Tahoma"/>
      <charset val="1"/>
    </font>
    <font>
      <b/>
      <sz val="11"/>
      <color theme="9"/>
      <name val="Calibri"/>
      <family val="2"/>
      <scheme val="minor"/>
    </font>
  </fonts>
  <fills count="9">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92D05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1" fillId="0" borderId="0" applyNumberFormat="0" applyFill="0" applyBorder="0" applyAlignment="0" applyProtection="0"/>
  </cellStyleXfs>
  <cellXfs count="56">
    <xf numFmtId="0" fontId="0" fillId="0" borderId="0" xfId="0"/>
    <xf numFmtId="9" fontId="0" fillId="0" borderId="0" xfId="2" applyFont="1"/>
    <xf numFmtId="0" fontId="2" fillId="0" borderId="0" xfId="0" applyFont="1"/>
    <xf numFmtId="44" fontId="0" fillId="0" borderId="0" xfId="1" applyFont="1"/>
    <xf numFmtId="0" fontId="0" fillId="0" borderId="0" xfId="0" applyAlignment="1">
      <alignment horizontal="left" indent="1"/>
    </xf>
    <xf numFmtId="44" fontId="0" fillId="0" borderId="0" xfId="0" applyNumberFormat="1"/>
    <xf numFmtId="0" fontId="0" fillId="2" borderId="1" xfId="0" applyFill="1" applyBorder="1"/>
    <xf numFmtId="44" fontId="0" fillId="2" borderId="1" xfId="1" applyFont="1" applyFill="1" applyBorder="1"/>
    <xf numFmtId="164" fontId="0" fillId="2" borderId="1" xfId="1" applyNumberFormat="1" applyFont="1" applyFill="1" applyBorder="1"/>
    <xf numFmtId="165" fontId="0" fillId="2" borderId="1" xfId="3" applyNumberFormat="1" applyFont="1" applyFill="1" applyBorder="1"/>
    <xf numFmtId="165" fontId="0" fillId="0" borderId="0" xfId="0" applyNumberFormat="1"/>
    <xf numFmtId="165" fontId="0" fillId="0" borderId="0" xfId="3" applyNumberFormat="1" applyFont="1" applyFill="1" applyBorder="1"/>
    <xf numFmtId="0" fontId="4" fillId="0" borderId="0" xfId="0" applyFont="1"/>
    <xf numFmtId="44" fontId="4" fillId="0" borderId="0" xfId="0" applyNumberFormat="1" applyFont="1"/>
    <xf numFmtId="44" fontId="4" fillId="0" borderId="0" xfId="1" applyFont="1" applyFill="1"/>
    <xf numFmtId="165" fontId="4" fillId="0" borderId="0" xfId="3" applyNumberFormat="1" applyFont="1" applyFill="1"/>
    <xf numFmtId="9" fontId="0" fillId="2" borderId="1" xfId="2" applyFont="1" applyFill="1" applyBorder="1"/>
    <xf numFmtId="166" fontId="0" fillId="2" borderId="1" xfId="0" applyNumberFormat="1" applyFill="1" applyBorder="1"/>
    <xf numFmtId="9" fontId="0" fillId="2" borderId="1" xfId="0" applyNumberFormat="1" applyFill="1" applyBorder="1"/>
    <xf numFmtId="9" fontId="0" fillId="0" borderId="0" xfId="0" applyNumberFormat="1"/>
    <xf numFmtId="44" fontId="0" fillId="0" borderId="0" xfId="1" applyFont="1" applyFill="1" applyBorder="1"/>
    <xf numFmtId="1" fontId="0" fillId="2" borderId="1" xfId="0" applyNumberFormat="1" applyFill="1" applyBorder="1"/>
    <xf numFmtId="44" fontId="0" fillId="0" borderId="0" xfId="1" applyFont="1" applyBorder="1"/>
    <xf numFmtId="44" fontId="8" fillId="0" borderId="0" xfId="1" applyFont="1" applyBorder="1"/>
    <xf numFmtId="44" fontId="0" fillId="0" borderId="8" xfId="1" applyFont="1" applyBorder="1"/>
    <xf numFmtId="44" fontId="8" fillId="0" borderId="8" xfId="1" applyFont="1" applyBorder="1"/>
    <xf numFmtId="44" fontId="4" fillId="0" borderId="0" xfId="1" applyFont="1"/>
    <xf numFmtId="164" fontId="0" fillId="0" borderId="0" xfId="1" applyNumberFormat="1" applyFont="1" applyFill="1" applyBorder="1"/>
    <xf numFmtId="0" fontId="0" fillId="3" borderId="0" xfId="0" applyFill="1"/>
    <xf numFmtId="0" fontId="0" fillId="4" borderId="0" xfId="0" applyFill="1"/>
    <xf numFmtId="0" fontId="0" fillId="5" borderId="0" xfId="0" applyFill="1"/>
    <xf numFmtId="0" fontId="0" fillId="6" borderId="0" xfId="0" applyFill="1"/>
    <xf numFmtId="167" fontId="0" fillId="0" borderId="0" xfId="0" applyNumberFormat="1"/>
    <xf numFmtId="0" fontId="0" fillId="0" borderId="0" xfId="3" applyNumberFormat="1" applyFont="1" applyFill="1" applyBorder="1"/>
    <xf numFmtId="0" fontId="0" fillId="6" borderId="0" xfId="0" applyFill="1" applyAlignment="1">
      <alignment horizontal="left" indent="1"/>
    </xf>
    <xf numFmtId="168" fontId="0" fillId="2" borderId="1" xfId="1" applyNumberFormat="1" applyFont="1" applyFill="1" applyBorder="1"/>
    <xf numFmtId="0" fontId="9" fillId="0" borderId="0" xfId="0" applyFont="1"/>
    <xf numFmtId="0" fontId="10" fillId="0" borderId="0" xfId="0" applyFont="1"/>
    <xf numFmtId="44" fontId="9" fillId="0" borderId="0" xfId="1" applyFont="1" applyBorder="1"/>
    <xf numFmtId="0" fontId="11" fillId="0" borderId="0" xfId="4"/>
    <xf numFmtId="0" fontId="0" fillId="7" borderId="0" xfId="0" applyFill="1"/>
    <xf numFmtId="1" fontId="0" fillId="0" borderId="0" xfId="0" applyNumberFormat="1"/>
    <xf numFmtId="165" fontId="12" fillId="7" borderId="0" xfId="0" applyNumberFormat="1" applyFont="1" applyFill="1"/>
    <xf numFmtId="165" fontId="0" fillId="7" borderId="0" xfId="1" applyNumberFormat="1" applyFont="1" applyFill="1"/>
    <xf numFmtId="0" fontId="0" fillId="8" borderId="0" xfId="0" applyFill="1"/>
    <xf numFmtId="165" fontId="0" fillId="8" borderId="0" xfId="0" applyNumberFormat="1" applyFill="1"/>
    <xf numFmtId="44" fontId="13" fillId="0" borderId="0" xfId="1" applyFont="1"/>
    <xf numFmtId="0" fontId="10" fillId="0" borderId="0" xfId="0" applyFont="1" applyBorder="1"/>
    <xf numFmtId="44" fontId="0" fillId="0" borderId="6" xfId="1" applyFont="1" applyBorder="1"/>
    <xf numFmtId="44" fontId="0" fillId="0" borderId="9" xfId="1" applyFont="1" applyBorder="1"/>
    <xf numFmtId="0" fontId="0" fillId="7" borderId="2" xfId="0" applyFill="1" applyBorder="1" applyAlignment="1">
      <alignment horizontal="center"/>
    </xf>
    <xf numFmtId="0" fontId="0" fillId="7" borderId="5" xfId="0" applyFill="1" applyBorder="1" applyAlignment="1">
      <alignment horizontal="center"/>
    </xf>
    <xf numFmtId="0" fontId="0" fillId="7" borderId="7" xfId="0" applyFill="1" applyBorder="1" applyAlignment="1">
      <alignment horizontal="center"/>
    </xf>
    <xf numFmtId="0" fontId="2" fillId="7" borderId="3" xfId="0" applyFont="1" applyFill="1" applyBorder="1"/>
    <xf numFmtId="0" fontId="7" fillId="7" borderId="3" xfId="0" applyFont="1" applyFill="1" applyBorder="1"/>
    <xf numFmtId="0" fontId="2" fillId="7" borderId="4" xfId="0" applyFont="1" applyFill="1" applyBorder="1"/>
  </cellXfs>
  <cellStyles count="5">
    <cellStyle name="Hyperlink" xfId="4" builtinId="8"/>
    <cellStyle name="Komma" xfId="3" builtinId="3"/>
    <cellStyle name="Procent" xfId="2" builtinId="5"/>
    <cellStyle name="Standaard" xfId="0" builtinId="0"/>
    <cellStyle name="Valuta" xfId="1" builtinId="4"/>
  </cellStyles>
  <dxfs count="3">
    <dxf>
      <font>
        <color rgb="FFFF0000"/>
      </font>
    </dxf>
    <dxf>
      <font>
        <color theme="9"/>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nl-NL"/>
              <a:t>Inkoop,</a:t>
            </a:r>
            <a:r>
              <a:rPr lang="nl-NL" baseline="0"/>
              <a:t> opwek en teruglevering stroom</a:t>
            </a:r>
            <a:endParaRPr lang="nl-NL"/>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nl-NL"/>
        </a:p>
      </c:txPr>
    </c:title>
    <c:autoTitleDeleted val="0"/>
    <c:plotArea>
      <c:layout/>
      <c:lineChart>
        <c:grouping val="standard"/>
        <c:varyColors val="0"/>
        <c:ser>
          <c:idx val="4"/>
          <c:order val="3"/>
          <c:tx>
            <c:strRef>
              <c:f>Scenario!$N$6</c:f>
              <c:strCache>
                <c:ptCount val="1"/>
                <c:pt idx="0">
                  <c:v> Inkoop stroom daadwerkelijk (kWh) </c:v>
                </c:pt>
              </c:strCache>
            </c:strRef>
          </c:tx>
          <c:spPr>
            <a:ln w="22225" cap="rnd">
              <a:solidFill>
                <a:schemeClr val="accent5"/>
              </a:solidFill>
            </a:ln>
            <a:effectLst>
              <a:glow rad="139700">
                <a:schemeClr val="accent5">
                  <a:satMod val="175000"/>
                  <a:alpha val="14000"/>
                </a:schemeClr>
              </a:glow>
            </a:effectLst>
          </c:spPr>
          <c:marker>
            <c:symbol val="none"/>
          </c:marker>
          <c:cat>
            <c:numRef>
              <c:f>Scenario!$O$2:$AF$2</c:f>
              <c:numCache>
                <c:formatCode>General</c:formatCode>
                <c:ptCount val="18"/>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numCache>
            </c:numRef>
          </c:cat>
          <c:val>
            <c:numRef>
              <c:f>Scenario!$O$6:$AF$6</c:f>
              <c:numCache>
                <c:formatCode>_ * #,##0_ ;_ * \-#,##0_ ;_ * "-"??_ ;_ @_ </c:formatCode>
                <c:ptCount val="18"/>
                <c:pt idx="0">
                  <c:v>1678.0000000000002</c:v>
                </c:pt>
                <c:pt idx="1">
                  <c:v>3306.8829999999998</c:v>
                </c:pt>
                <c:pt idx="2">
                  <c:v>3310.366</c:v>
                </c:pt>
                <c:pt idx="3">
                  <c:v>3313.8490000000002</c:v>
                </c:pt>
                <c:pt idx="4">
                  <c:v>3317.3319999999999</c:v>
                </c:pt>
                <c:pt idx="5">
                  <c:v>3320.8150000000001</c:v>
                </c:pt>
                <c:pt idx="6">
                  <c:v>3324.2979999999998</c:v>
                </c:pt>
                <c:pt idx="7">
                  <c:v>3327.7809999999999</c:v>
                </c:pt>
                <c:pt idx="8">
                  <c:v>3331.2640000000001</c:v>
                </c:pt>
                <c:pt idx="9">
                  <c:v>3334.7470000000003</c:v>
                </c:pt>
                <c:pt idx="10">
                  <c:v>3338.23</c:v>
                </c:pt>
                <c:pt idx="11">
                  <c:v>3341.7130000000002</c:v>
                </c:pt>
                <c:pt idx="12">
                  <c:v>3345.1959999999999</c:v>
                </c:pt>
                <c:pt idx="13">
                  <c:v>3348.6790000000001</c:v>
                </c:pt>
                <c:pt idx="14">
                  <c:v>3352.1620000000003</c:v>
                </c:pt>
                <c:pt idx="15">
                  <c:v>3355.645</c:v>
                </c:pt>
                <c:pt idx="16">
                  <c:v>3359.1280000000002</c:v>
                </c:pt>
                <c:pt idx="17">
                  <c:v>3362.6109999999999</c:v>
                </c:pt>
              </c:numCache>
            </c:numRef>
          </c:val>
          <c:smooth val="0"/>
          <c:extLst>
            <c:ext xmlns:c16="http://schemas.microsoft.com/office/drawing/2014/chart" uri="{C3380CC4-5D6E-409C-BE32-E72D297353CC}">
              <c16:uniqueId val="{00000004-5A34-4D4C-9BBA-1EC4D2648EA5}"/>
            </c:ext>
          </c:extLst>
        </c:ser>
        <c:ser>
          <c:idx val="1"/>
          <c:order val="5"/>
          <c:tx>
            <c:strRef>
              <c:f>Scenario!$N$8</c:f>
              <c:strCache>
                <c:ptCount val="1"/>
                <c:pt idx="0">
                  <c:v> Saldering daadwerkelijk (kWh) </c:v>
                </c:pt>
              </c:strCache>
            </c:strRef>
          </c:tx>
          <c:spPr>
            <a:ln w="22225" cap="rnd">
              <a:solidFill>
                <a:schemeClr val="accent2"/>
              </a:solidFill>
            </a:ln>
            <a:effectLst>
              <a:glow rad="139700">
                <a:schemeClr val="accent2">
                  <a:satMod val="175000"/>
                  <a:alpha val="14000"/>
                </a:schemeClr>
              </a:glow>
            </a:effectLst>
          </c:spPr>
          <c:marker>
            <c:symbol val="none"/>
          </c:marker>
          <c:cat>
            <c:numRef>
              <c:f>Scenario!$O$2:$AF$2</c:f>
              <c:numCache>
                <c:formatCode>General</c:formatCode>
                <c:ptCount val="18"/>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numCache>
            </c:numRef>
          </c:cat>
          <c:val>
            <c:numRef>
              <c:f>Scenario!$O$8:$AF$8</c:f>
              <c:numCache>
                <c:formatCode>_ * #,##0_ ;_ * \-#,##0_ ;_ * "-"??_ ;_ @_ </c:formatCode>
                <c:ptCount val="18"/>
                <c:pt idx="0">
                  <c:v>1625.3999999999999</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0-1B52-4D2D-83B3-04C25B3DB4BB}"/>
            </c:ext>
          </c:extLst>
        </c:ser>
        <c:ser>
          <c:idx val="6"/>
          <c:order val="6"/>
          <c:tx>
            <c:strRef>
              <c:f>Scenario!$N$9</c:f>
              <c:strCache>
                <c:ptCount val="1"/>
                <c:pt idx="0">
                  <c:v> Teruglevering (kWh) </c:v>
                </c:pt>
              </c:strCache>
            </c:strRef>
          </c:tx>
          <c:spPr>
            <a:ln w="22225" cap="rnd">
              <a:solidFill>
                <a:schemeClr val="accent1">
                  <a:lumMod val="60000"/>
                </a:schemeClr>
              </a:solidFill>
            </a:ln>
            <a:effectLst>
              <a:glow rad="139700">
                <a:schemeClr val="accent1">
                  <a:lumMod val="60000"/>
                  <a:satMod val="175000"/>
                  <a:alpha val="14000"/>
                </a:schemeClr>
              </a:glow>
            </a:effectLst>
          </c:spPr>
          <c:marker>
            <c:symbol val="none"/>
          </c:marker>
          <c:cat>
            <c:numRef>
              <c:f>Scenario!$O$2:$AF$2</c:f>
              <c:numCache>
                <c:formatCode>General</c:formatCode>
                <c:ptCount val="18"/>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numCache>
            </c:numRef>
          </c:cat>
          <c:val>
            <c:numRef>
              <c:f>Scenario!$O$9:$AF$9</c:f>
              <c:numCache>
                <c:formatCode>_ * #,##0_ ;_ * \-#,##0_ ;_ * "-"??_ ;_ @_ </c:formatCode>
                <c:ptCount val="18"/>
                <c:pt idx="0">
                  <c:v>0</c:v>
                </c:pt>
                <c:pt idx="1">
                  <c:v>1617.2729999999999</c:v>
                </c:pt>
                <c:pt idx="2">
                  <c:v>1609.146</c:v>
                </c:pt>
                <c:pt idx="3">
                  <c:v>1601.019</c:v>
                </c:pt>
                <c:pt idx="4">
                  <c:v>1592.8919999999998</c:v>
                </c:pt>
                <c:pt idx="5">
                  <c:v>1584.7649999999999</c:v>
                </c:pt>
                <c:pt idx="6">
                  <c:v>1576.6379999999999</c:v>
                </c:pt>
                <c:pt idx="7">
                  <c:v>1568.511</c:v>
                </c:pt>
                <c:pt idx="8">
                  <c:v>1560.3839999999998</c:v>
                </c:pt>
                <c:pt idx="9">
                  <c:v>1552.2569999999998</c:v>
                </c:pt>
                <c:pt idx="10">
                  <c:v>1544.1299999999999</c:v>
                </c:pt>
                <c:pt idx="11">
                  <c:v>1536.0029999999999</c:v>
                </c:pt>
                <c:pt idx="12">
                  <c:v>1527.8759999999997</c:v>
                </c:pt>
                <c:pt idx="13">
                  <c:v>1519.7489999999998</c:v>
                </c:pt>
                <c:pt idx="14">
                  <c:v>1511.6219999999998</c:v>
                </c:pt>
                <c:pt idx="15">
                  <c:v>1503.4949999999999</c:v>
                </c:pt>
                <c:pt idx="16">
                  <c:v>1495.3679999999997</c:v>
                </c:pt>
                <c:pt idx="17">
                  <c:v>1487.2409999999998</c:v>
                </c:pt>
              </c:numCache>
            </c:numRef>
          </c:val>
          <c:smooth val="0"/>
          <c:extLst>
            <c:ext xmlns:c16="http://schemas.microsoft.com/office/drawing/2014/chart" uri="{C3380CC4-5D6E-409C-BE32-E72D297353CC}">
              <c16:uniqueId val="{00000001-1B52-4D2D-83B3-04C25B3DB4BB}"/>
            </c:ext>
          </c:extLst>
        </c:ser>
        <c:dLbls>
          <c:showLegendKey val="0"/>
          <c:showVal val="0"/>
          <c:showCatName val="0"/>
          <c:showSerName val="0"/>
          <c:showPercent val="0"/>
          <c:showBubbleSize val="0"/>
        </c:dLbls>
        <c:smooth val="0"/>
        <c:axId val="660751903"/>
        <c:axId val="462468863"/>
        <c:extLst>
          <c:ext xmlns:c15="http://schemas.microsoft.com/office/drawing/2012/chart" uri="{02D57815-91ED-43cb-92C2-25804820EDAC}">
            <c15:filteredLineSeries>
              <c15:ser>
                <c:idx val="0"/>
                <c:order val="0"/>
                <c:tx>
                  <c:strRef>
                    <c:extLst>
                      <c:ext uri="{02D57815-91ED-43cb-92C2-25804820EDAC}">
                        <c15:formulaRef>
                          <c15:sqref>Scenario!$N$3</c15:sqref>
                        </c15:formulaRef>
                      </c:ext>
                    </c:extLst>
                    <c:strCache>
                      <c:ptCount val="1"/>
                      <c:pt idx="0">
                        <c:v> Huurcomponent warmtepomp </c:v>
                      </c:pt>
                    </c:strCache>
                  </c:strRef>
                </c:tx>
                <c:spPr>
                  <a:ln w="22225" cap="rnd">
                    <a:solidFill>
                      <a:schemeClr val="accent1"/>
                    </a:solidFill>
                  </a:ln>
                  <a:effectLst>
                    <a:glow rad="139700">
                      <a:schemeClr val="accent1">
                        <a:satMod val="175000"/>
                        <a:alpha val="14000"/>
                      </a:schemeClr>
                    </a:glow>
                  </a:effectLst>
                </c:spPr>
                <c:marker>
                  <c:symbol val="none"/>
                </c:marker>
                <c:cat>
                  <c:numRef>
                    <c:extLst>
                      <c:ext uri="{02D57815-91ED-43cb-92C2-25804820EDAC}">
                        <c15:formulaRef>
                          <c15:sqref>Scenario!$O$2:$AF$2</c15:sqref>
                        </c15:formulaRef>
                      </c:ext>
                    </c:extLst>
                    <c:numCache>
                      <c:formatCode>General</c:formatCode>
                      <c:ptCount val="18"/>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numCache>
                  </c:numRef>
                </c:cat>
                <c:val>
                  <c:numRef>
                    <c:extLst>
                      <c:ext uri="{02D57815-91ED-43cb-92C2-25804820EDAC}">
                        <c15:formulaRef>
                          <c15:sqref>Scenario!$O$3:$AF$3</c15:sqref>
                        </c15:formulaRef>
                      </c:ext>
                    </c:extLst>
                    <c:numCache>
                      <c:formatCode>_("€"* #,##0.00_);_("€"* \(#,##0.00\);_("€"* "-"??_);_(@_)</c:formatCode>
                      <c:ptCount val="18"/>
                      <c:pt idx="0">
                        <c:v>15</c:v>
                      </c:pt>
                      <c:pt idx="1">
                        <c:v>15.3</c:v>
                      </c:pt>
                      <c:pt idx="2">
                        <c:v>15.606</c:v>
                      </c:pt>
                      <c:pt idx="3">
                        <c:v>15.918119999999998</c:v>
                      </c:pt>
                      <c:pt idx="4">
                        <c:v>16.2364824</c:v>
                      </c:pt>
                      <c:pt idx="5">
                        <c:v>16.561212048000002</c:v>
                      </c:pt>
                      <c:pt idx="6">
                        <c:v>16.892436288960003</c:v>
                      </c:pt>
                      <c:pt idx="7">
                        <c:v>17.230285014739199</c:v>
                      </c:pt>
                      <c:pt idx="8">
                        <c:v>17.574890715033984</c:v>
                      </c:pt>
                      <c:pt idx="9">
                        <c:v>17.926388529334663</c:v>
                      </c:pt>
                      <c:pt idx="10">
                        <c:v>18.284916299921356</c:v>
                      </c:pt>
                      <c:pt idx="11">
                        <c:v>18.650614625919779</c:v>
                      </c:pt>
                      <c:pt idx="12">
                        <c:v>19.023626918438179</c:v>
                      </c:pt>
                      <c:pt idx="13">
                        <c:v>19.404099456806943</c:v>
                      </c:pt>
                      <c:pt idx="14">
                        <c:v>19.792181445943083</c:v>
                      </c:pt>
                      <c:pt idx="15">
                        <c:v>20.188025074861937</c:v>
                      </c:pt>
                      <c:pt idx="16">
                        <c:v>20.591785576359179</c:v>
                      </c:pt>
                      <c:pt idx="17">
                        <c:v>21.003621287886364</c:v>
                      </c:pt>
                    </c:numCache>
                  </c:numRef>
                </c:val>
                <c:smooth val="0"/>
                <c:extLst>
                  <c:ext xmlns:c16="http://schemas.microsoft.com/office/drawing/2014/chart" uri="{C3380CC4-5D6E-409C-BE32-E72D297353CC}">
                    <c16:uniqueId val="{00000000-5A34-4D4C-9BBA-1EC4D2648EA5}"/>
                  </c:ext>
                </c:extLst>
              </c15:ser>
            </c15:filteredLineSeries>
            <c15:filteredLineSeries>
              <c15:ser>
                <c:idx val="2"/>
                <c:order val="1"/>
                <c:tx>
                  <c:strRef>
                    <c:extLst xmlns:c15="http://schemas.microsoft.com/office/drawing/2012/chart">
                      <c:ext xmlns:c15="http://schemas.microsoft.com/office/drawing/2012/chart" uri="{02D57815-91ED-43cb-92C2-25804820EDAC}">
                        <c15:formulaRef>
                          <c15:sqref>Scenario!$N$4</c15:sqref>
                        </c15:formulaRef>
                      </c:ext>
                    </c:extLst>
                    <c:strCache>
                      <c:ptCount val="1"/>
                      <c:pt idx="0">
                        <c:v> Huurcomponent zonnepanelen </c:v>
                      </c:pt>
                    </c:strCache>
                  </c:strRef>
                </c:tx>
                <c:spPr>
                  <a:ln w="22225" cap="rnd">
                    <a:solidFill>
                      <a:schemeClr val="accent3"/>
                    </a:solidFill>
                  </a:ln>
                  <a:effectLst>
                    <a:glow rad="139700">
                      <a:schemeClr val="accent3">
                        <a:satMod val="175000"/>
                        <a:alpha val="14000"/>
                      </a:schemeClr>
                    </a:glow>
                  </a:effectLst>
                </c:spPr>
                <c:marker>
                  <c:symbol val="none"/>
                </c:marker>
                <c:cat>
                  <c:numRef>
                    <c:extLst xmlns:c15="http://schemas.microsoft.com/office/drawing/2012/chart">
                      <c:ext xmlns:c15="http://schemas.microsoft.com/office/drawing/2012/chart" uri="{02D57815-91ED-43cb-92C2-25804820EDAC}">
                        <c15:formulaRef>
                          <c15:sqref>Scenario!$O$2:$AF$2</c15:sqref>
                        </c15:formulaRef>
                      </c:ext>
                    </c:extLst>
                    <c:numCache>
                      <c:formatCode>General</c:formatCode>
                      <c:ptCount val="18"/>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numCache>
                  </c:numRef>
                </c:cat>
                <c:val>
                  <c:numRef>
                    <c:extLst xmlns:c15="http://schemas.microsoft.com/office/drawing/2012/chart">
                      <c:ext xmlns:c15="http://schemas.microsoft.com/office/drawing/2012/chart" uri="{02D57815-91ED-43cb-92C2-25804820EDAC}">
                        <c15:formulaRef>
                          <c15:sqref>Scenario!$O$4:$AF$4</c15:sqref>
                        </c15:formulaRef>
                      </c:ext>
                    </c:extLst>
                    <c:numCache>
                      <c:formatCode>_("€"* #,##0.00_);_("€"* \(#,##0.00\);_("€"* "-"??_);_(@_)</c:formatCode>
                      <c:ptCount val="18"/>
                      <c:pt idx="0">
                        <c:v>15</c:v>
                      </c:pt>
                      <c:pt idx="1">
                        <c:v>15</c:v>
                      </c:pt>
                      <c:pt idx="2">
                        <c:v>15</c:v>
                      </c:pt>
                      <c:pt idx="3">
                        <c:v>15</c:v>
                      </c:pt>
                      <c:pt idx="4">
                        <c:v>15</c:v>
                      </c:pt>
                      <c:pt idx="5">
                        <c:v>15</c:v>
                      </c:pt>
                      <c:pt idx="6">
                        <c:v>15</c:v>
                      </c:pt>
                      <c:pt idx="7">
                        <c:v>15</c:v>
                      </c:pt>
                      <c:pt idx="8">
                        <c:v>15</c:v>
                      </c:pt>
                      <c:pt idx="9">
                        <c:v>15</c:v>
                      </c:pt>
                      <c:pt idx="10">
                        <c:v>15</c:v>
                      </c:pt>
                      <c:pt idx="11">
                        <c:v>15</c:v>
                      </c:pt>
                      <c:pt idx="12">
                        <c:v>15</c:v>
                      </c:pt>
                      <c:pt idx="13">
                        <c:v>15</c:v>
                      </c:pt>
                      <c:pt idx="14">
                        <c:v>15</c:v>
                      </c:pt>
                      <c:pt idx="15">
                        <c:v>15</c:v>
                      </c:pt>
                      <c:pt idx="16">
                        <c:v>15</c:v>
                      </c:pt>
                      <c:pt idx="17">
                        <c:v>15</c:v>
                      </c:pt>
                    </c:numCache>
                  </c:numRef>
                </c:val>
                <c:smooth val="0"/>
                <c:extLst xmlns:c15="http://schemas.microsoft.com/office/drawing/2012/chart">
                  <c:ext xmlns:c16="http://schemas.microsoft.com/office/drawing/2014/chart" uri="{C3380CC4-5D6E-409C-BE32-E72D297353CC}">
                    <c16:uniqueId val="{00000002-5A34-4D4C-9BBA-1EC4D2648EA5}"/>
                  </c:ext>
                </c:extLst>
              </c15:ser>
            </c15:filteredLineSeries>
            <c15:filteredLineSeries>
              <c15:ser>
                <c:idx val="3"/>
                <c:order val="2"/>
                <c:tx>
                  <c:strRef>
                    <c:extLst xmlns:c15="http://schemas.microsoft.com/office/drawing/2012/chart">
                      <c:ext xmlns:c15="http://schemas.microsoft.com/office/drawing/2012/chart" uri="{02D57815-91ED-43cb-92C2-25804820EDAC}">
                        <c15:formulaRef>
                          <c15:sqref>Scenario!$N$5</c15:sqref>
                        </c15:formulaRef>
                      </c:ext>
                    </c:extLst>
                    <c:strCache>
                      <c:ptCount val="1"/>
                      <c:pt idx="0">
                        <c:v> Inkoop stroom (kWh) </c:v>
                      </c:pt>
                    </c:strCache>
                  </c:strRef>
                </c:tx>
                <c:spPr>
                  <a:ln w="22225" cap="rnd">
                    <a:solidFill>
                      <a:schemeClr val="accent4"/>
                    </a:solidFill>
                  </a:ln>
                  <a:effectLst>
                    <a:glow rad="139700">
                      <a:schemeClr val="accent4">
                        <a:satMod val="175000"/>
                        <a:alpha val="14000"/>
                      </a:schemeClr>
                    </a:glow>
                  </a:effectLst>
                </c:spPr>
                <c:marker>
                  <c:symbol val="none"/>
                </c:marker>
                <c:cat>
                  <c:numRef>
                    <c:extLst xmlns:c15="http://schemas.microsoft.com/office/drawing/2012/chart">
                      <c:ext xmlns:c15="http://schemas.microsoft.com/office/drawing/2012/chart" uri="{02D57815-91ED-43cb-92C2-25804820EDAC}">
                        <c15:formulaRef>
                          <c15:sqref>Scenario!$O$2:$AF$2</c15:sqref>
                        </c15:formulaRef>
                      </c:ext>
                    </c:extLst>
                    <c:numCache>
                      <c:formatCode>General</c:formatCode>
                      <c:ptCount val="18"/>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numCache>
                  </c:numRef>
                </c:cat>
                <c:val>
                  <c:numRef>
                    <c:extLst xmlns:c15="http://schemas.microsoft.com/office/drawing/2012/chart">
                      <c:ext xmlns:c15="http://schemas.microsoft.com/office/drawing/2012/chart" uri="{02D57815-91ED-43cb-92C2-25804820EDAC}">
                        <c15:formulaRef>
                          <c15:sqref>Scenario!$O$5:$AF$5</c15:sqref>
                        </c15:formulaRef>
                      </c:ext>
                    </c:extLst>
                    <c:numCache>
                      <c:formatCode>_ * #,##0_ ;_ * \-#,##0_ ;_ * "-"??_ ;_ @_ </c:formatCode>
                      <c:ptCount val="18"/>
                      <c:pt idx="0">
                        <c:v>3303.4</c:v>
                      </c:pt>
                      <c:pt idx="1">
                        <c:v>3306.8829999999998</c:v>
                      </c:pt>
                      <c:pt idx="2">
                        <c:v>3310.366</c:v>
                      </c:pt>
                      <c:pt idx="3">
                        <c:v>3313.8490000000002</c:v>
                      </c:pt>
                      <c:pt idx="4">
                        <c:v>3317.3319999999999</c:v>
                      </c:pt>
                      <c:pt idx="5">
                        <c:v>3320.8150000000001</c:v>
                      </c:pt>
                      <c:pt idx="6">
                        <c:v>3324.2979999999998</c:v>
                      </c:pt>
                      <c:pt idx="7">
                        <c:v>3327.7809999999999</c:v>
                      </c:pt>
                      <c:pt idx="8">
                        <c:v>3331.2640000000001</c:v>
                      </c:pt>
                      <c:pt idx="9">
                        <c:v>3334.7470000000003</c:v>
                      </c:pt>
                      <c:pt idx="10">
                        <c:v>3338.23</c:v>
                      </c:pt>
                      <c:pt idx="11">
                        <c:v>3341.7130000000002</c:v>
                      </c:pt>
                      <c:pt idx="12">
                        <c:v>3345.1959999999999</c:v>
                      </c:pt>
                      <c:pt idx="13">
                        <c:v>3348.6790000000001</c:v>
                      </c:pt>
                      <c:pt idx="14">
                        <c:v>3352.1620000000003</c:v>
                      </c:pt>
                      <c:pt idx="15">
                        <c:v>3355.645</c:v>
                      </c:pt>
                      <c:pt idx="16">
                        <c:v>3359.1280000000002</c:v>
                      </c:pt>
                      <c:pt idx="17">
                        <c:v>3362.6109999999999</c:v>
                      </c:pt>
                    </c:numCache>
                  </c:numRef>
                </c:val>
                <c:smooth val="0"/>
                <c:extLst xmlns:c15="http://schemas.microsoft.com/office/drawing/2012/chart">
                  <c:ext xmlns:c16="http://schemas.microsoft.com/office/drawing/2014/chart" uri="{C3380CC4-5D6E-409C-BE32-E72D297353CC}">
                    <c16:uniqueId val="{00000003-5A34-4D4C-9BBA-1EC4D2648EA5}"/>
                  </c:ext>
                </c:extLst>
              </c15:ser>
            </c15:filteredLineSeries>
            <c15:filteredLineSeries>
              <c15:ser>
                <c:idx val="5"/>
                <c:order val="4"/>
                <c:tx>
                  <c:strRef>
                    <c:extLst xmlns:c15="http://schemas.microsoft.com/office/drawing/2012/chart">
                      <c:ext xmlns:c15="http://schemas.microsoft.com/office/drawing/2012/chart" uri="{02D57815-91ED-43cb-92C2-25804820EDAC}">
                        <c15:formulaRef>
                          <c15:sqref>Scenario!$N$7</c15:sqref>
                        </c15:formulaRef>
                      </c:ext>
                    </c:extLst>
                    <c:strCache>
                      <c:ptCount val="1"/>
                      <c:pt idx="0">
                        <c:v> Saldering (kWh) </c:v>
                      </c:pt>
                    </c:strCache>
                  </c:strRef>
                </c:tx>
                <c:spPr>
                  <a:ln w="22225" cap="rnd">
                    <a:solidFill>
                      <a:schemeClr val="accent6"/>
                    </a:solidFill>
                  </a:ln>
                  <a:effectLst>
                    <a:glow rad="139700">
                      <a:schemeClr val="accent6">
                        <a:satMod val="175000"/>
                        <a:alpha val="14000"/>
                      </a:schemeClr>
                    </a:glow>
                  </a:effectLst>
                </c:spPr>
                <c:marker>
                  <c:symbol val="none"/>
                </c:marker>
                <c:cat>
                  <c:numRef>
                    <c:extLst xmlns:c15="http://schemas.microsoft.com/office/drawing/2012/chart">
                      <c:ext xmlns:c15="http://schemas.microsoft.com/office/drawing/2012/chart" uri="{02D57815-91ED-43cb-92C2-25804820EDAC}">
                        <c15:formulaRef>
                          <c15:sqref>Scenario!$O$2:$AF$2</c15:sqref>
                        </c15:formulaRef>
                      </c:ext>
                    </c:extLst>
                    <c:numCache>
                      <c:formatCode>General</c:formatCode>
                      <c:ptCount val="18"/>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numCache>
                  </c:numRef>
                </c:cat>
                <c:val>
                  <c:numRef>
                    <c:extLst xmlns:c15="http://schemas.microsoft.com/office/drawing/2012/chart">
                      <c:ext xmlns:c15="http://schemas.microsoft.com/office/drawing/2012/chart" uri="{02D57815-91ED-43cb-92C2-25804820EDAC}">
                        <c15:formulaRef>
                          <c15:sqref>Scenario!$O$7:$AF$7</c15:sqref>
                        </c15:formulaRef>
                      </c:ext>
                    </c:extLst>
                    <c:numCache>
                      <c:formatCode>_ * #,##0_ ;_ * \-#,##0_ ;_ * "-"??_ ;_ @_ </c:formatCode>
                      <c:ptCount val="18"/>
                      <c:pt idx="0">
                        <c:v>1625.3999999999999</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xmlns:c15="http://schemas.microsoft.com/office/drawing/2012/chart">
                  <c:ext xmlns:c16="http://schemas.microsoft.com/office/drawing/2014/chart" uri="{C3380CC4-5D6E-409C-BE32-E72D297353CC}">
                    <c16:uniqueId val="{00000005-5A34-4D4C-9BBA-1EC4D2648EA5}"/>
                  </c:ext>
                </c:extLst>
              </c15:ser>
            </c15:filteredLineSeries>
          </c:ext>
        </c:extLst>
      </c:lineChart>
      <c:catAx>
        <c:axId val="660751903"/>
        <c:scaling>
          <c:orientation val="minMax"/>
        </c:scaling>
        <c:delete val="0"/>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crossAx val="462468863"/>
        <c:crosses val="autoZero"/>
        <c:auto val="1"/>
        <c:lblAlgn val="ctr"/>
        <c:lblOffset val="100"/>
        <c:noMultiLvlLbl val="0"/>
      </c:catAx>
      <c:valAx>
        <c:axId val="462468863"/>
        <c:scaling>
          <c:orientation val="minMax"/>
        </c:scaling>
        <c:delete val="0"/>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crossAx val="66075190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legend>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Kosten</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nl-NL"/>
        </a:p>
      </c:txPr>
    </c:title>
    <c:autoTitleDeleted val="0"/>
    <c:plotArea>
      <c:layout/>
      <c:lineChart>
        <c:grouping val="standard"/>
        <c:varyColors val="0"/>
        <c:ser>
          <c:idx val="1"/>
          <c:order val="0"/>
          <c:tx>
            <c:strRef>
              <c:f>Scenario!$H$2</c:f>
              <c:strCache>
                <c:ptCount val="1"/>
                <c:pt idx="0">
                  <c:v>Maandelijks</c:v>
                </c:pt>
              </c:strCache>
            </c:strRef>
          </c:tx>
          <c:spPr>
            <a:ln w="22225" cap="rnd">
              <a:solidFill>
                <a:schemeClr val="accent2"/>
              </a:solidFill>
            </a:ln>
            <a:effectLst>
              <a:glow rad="139700">
                <a:schemeClr val="accent2">
                  <a:satMod val="175000"/>
                  <a:alpha val="14000"/>
                </a:schemeClr>
              </a:glow>
            </a:effectLst>
          </c:spPr>
          <c:marker>
            <c:symbol val="none"/>
          </c:marker>
          <c:cat>
            <c:numRef>
              <c:f>Scenario!$F$4:$F$20</c:f>
              <c:numCache>
                <c:formatCode>General</c:formatCode>
                <c:ptCount val="17"/>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numCache>
            </c:numRef>
          </c:cat>
          <c:val>
            <c:numRef>
              <c:f>Scenario!$H$4:$H$20</c:f>
              <c:numCache>
                <c:formatCode>_("€"* #,##0.00_);_("€"* \(#,##0.00\);_("€"* "-"??_);_(@_)</c:formatCode>
                <c:ptCount val="17"/>
                <c:pt idx="0">
                  <c:v>143.42755178755004</c:v>
                </c:pt>
                <c:pt idx="1">
                  <c:v>146.363897321802</c:v>
                </c:pt>
                <c:pt idx="2">
                  <c:v>149.36943968145906</c:v>
                </c:pt>
                <c:pt idx="3">
                  <c:v>152.44586562206621</c:v>
                </c:pt>
                <c:pt idx="4">
                  <c:v>155.59490449328231</c:v>
                </c:pt>
                <c:pt idx="5">
                  <c:v>158.81832935202118</c:v>
                </c:pt>
                <c:pt idx="6">
                  <c:v>162.11795810560301</c:v>
                </c:pt>
                <c:pt idx="7">
                  <c:v>165.4956546857467</c:v>
                </c:pt>
                <c:pt idx="8">
                  <c:v>168.95333025425813</c:v>
                </c:pt>
                <c:pt idx="9">
                  <c:v>172.49294444129205</c:v>
                </c:pt>
                <c:pt idx="10">
                  <c:v>176.11650661709155</c:v>
                </c:pt>
                <c:pt idx="11">
                  <c:v>179.82607719813413</c:v>
                </c:pt>
                <c:pt idx="12">
                  <c:v>183.62376898863877</c:v>
                </c:pt>
                <c:pt idx="13">
                  <c:v>187.51174855841751</c:v>
                </c:pt>
                <c:pt idx="14">
                  <c:v>191.49223765808122</c:v>
                </c:pt>
                <c:pt idx="15">
                  <c:v>195.56751467263811</c:v>
                </c:pt>
                <c:pt idx="16">
                  <c:v>199.73991611455367</c:v>
                </c:pt>
              </c:numCache>
            </c:numRef>
          </c:val>
          <c:smooth val="0"/>
          <c:extLst>
            <c:ext xmlns:c16="http://schemas.microsoft.com/office/drawing/2014/chart" uri="{C3380CC4-5D6E-409C-BE32-E72D297353CC}">
              <c16:uniqueId val="{00000001-CD8F-4982-8C1E-335C2A567ECC}"/>
            </c:ext>
          </c:extLst>
        </c:ser>
        <c:ser>
          <c:idx val="2"/>
          <c:order val="1"/>
          <c:tx>
            <c:strRef>
              <c:f>Scenario!$I$2</c:f>
              <c:strCache>
                <c:ptCount val="1"/>
                <c:pt idx="0">
                  <c:v>Energielasten</c:v>
                </c:pt>
              </c:strCache>
            </c:strRef>
          </c:tx>
          <c:spPr>
            <a:ln w="22225" cap="rnd">
              <a:solidFill>
                <a:schemeClr val="accent3"/>
              </a:solidFill>
            </a:ln>
            <a:effectLst>
              <a:glow rad="139700">
                <a:schemeClr val="accent3">
                  <a:satMod val="175000"/>
                  <a:alpha val="14000"/>
                </a:schemeClr>
              </a:glow>
            </a:effectLst>
          </c:spPr>
          <c:marker>
            <c:symbol val="none"/>
          </c:marker>
          <c:cat>
            <c:numRef>
              <c:f>Scenario!$F$4:$F$20</c:f>
              <c:numCache>
                <c:formatCode>General</c:formatCode>
                <c:ptCount val="17"/>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numCache>
            </c:numRef>
          </c:cat>
          <c:val>
            <c:numRef>
              <c:f>Scenario!$I$4:$I$20</c:f>
              <c:numCache>
                <c:formatCode>_("€"* #,##0.00_);_("€"* \(#,##0.00\);_("€"* "-"??_);_(@_)</c:formatCode>
                <c:ptCount val="17"/>
                <c:pt idx="0">
                  <c:v>113.12755178755005</c:v>
                </c:pt>
                <c:pt idx="1">
                  <c:v>115.75789732180201</c:v>
                </c:pt>
                <c:pt idx="2">
                  <c:v>118.45131968145905</c:v>
                </c:pt>
                <c:pt idx="3">
                  <c:v>121.20938322206621</c:v>
                </c:pt>
                <c:pt idx="4">
                  <c:v>124.03369244528231</c:v>
                </c:pt>
                <c:pt idx="5">
                  <c:v>126.92589306306118</c:v>
                </c:pt>
                <c:pt idx="6">
                  <c:v>129.88767309086381</c:v>
                </c:pt>
                <c:pt idx="7">
                  <c:v>132.9207639707127</c:v>
                </c:pt>
                <c:pt idx="8">
                  <c:v>136.02694172492346</c:v>
                </c:pt>
                <c:pt idx="9">
                  <c:v>139.2080281413707</c:v>
                </c:pt>
                <c:pt idx="10">
                  <c:v>142.46589199117176</c:v>
                </c:pt>
                <c:pt idx="11">
                  <c:v>145.80245027969596</c:v>
                </c:pt>
                <c:pt idx="12">
                  <c:v>149.21966953183181</c:v>
                </c:pt>
                <c:pt idx="13">
                  <c:v>152.71956711247441</c:v>
                </c:pt>
                <c:pt idx="14">
                  <c:v>156.30421258321928</c:v>
                </c:pt>
                <c:pt idx="15">
                  <c:v>159.97572909627894</c:v>
                </c:pt>
                <c:pt idx="16">
                  <c:v>163.73629482666729</c:v>
                </c:pt>
              </c:numCache>
            </c:numRef>
          </c:val>
          <c:smooth val="0"/>
          <c:extLst>
            <c:ext xmlns:c16="http://schemas.microsoft.com/office/drawing/2014/chart" uri="{C3380CC4-5D6E-409C-BE32-E72D297353CC}">
              <c16:uniqueId val="{00000002-CD8F-4982-8C1E-335C2A567ECC}"/>
            </c:ext>
          </c:extLst>
        </c:ser>
        <c:ser>
          <c:idx val="3"/>
          <c:order val="2"/>
          <c:tx>
            <c:strRef>
              <c:f>Scenario!$J$2</c:f>
              <c:strCache>
                <c:ptCount val="1"/>
                <c:pt idx="0">
                  <c:v>Huur</c:v>
                </c:pt>
              </c:strCache>
            </c:strRef>
          </c:tx>
          <c:spPr>
            <a:ln w="22225" cap="rnd">
              <a:solidFill>
                <a:schemeClr val="accent4"/>
              </a:solidFill>
            </a:ln>
            <a:effectLst>
              <a:glow rad="139700">
                <a:schemeClr val="accent4">
                  <a:satMod val="175000"/>
                  <a:alpha val="14000"/>
                </a:schemeClr>
              </a:glow>
            </a:effectLst>
          </c:spPr>
          <c:marker>
            <c:symbol val="none"/>
          </c:marker>
          <c:cat>
            <c:numRef>
              <c:f>Scenario!$F$4:$F$20</c:f>
              <c:numCache>
                <c:formatCode>General</c:formatCode>
                <c:ptCount val="17"/>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numCache>
            </c:numRef>
          </c:cat>
          <c:val>
            <c:numRef>
              <c:f>Scenario!$J$4:$J$20</c:f>
              <c:numCache>
                <c:formatCode>_("€"* #,##0.00_);_("€"* \(#,##0.00\);_("€"* "-"??_);_(@_)</c:formatCode>
                <c:ptCount val="17"/>
                <c:pt idx="0">
                  <c:v>30.3</c:v>
                </c:pt>
                <c:pt idx="1">
                  <c:v>30.606000000000002</c:v>
                </c:pt>
                <c:pt idx="2">
                  <c:v>30.918119999999998</c:v>
                </c:pt>
                <c:pt idx="3">
                  <c:v>31.2364824</c:v>
                </c:pt>
                <c:pt idx="4">
                  <c:v>31.561212048000002</c:v>
                </c:pt>
                <c:pt idx="5">
                  <c:v>31.892436288960003</c:v>
                </c:pt>
                <c:pt idx="6">
                  <c:v>32.230285014739195</c:v>
                </c:pt>
                <c:pt idx="7">
                  <c:v>32.574890715033987</c:v>
                </c:pt>
                <c:pt idx="8">
                  <c:v>32.926388529334659</c:v>
                </c:pt>
                <c:pt idx="9">
                  <c:v>33.284916299921356</c:v>
                </c:pt>
                <c:pt idx="10">
                  <c:v>33.650614625919779</c:v>
                </c:pt>
                <c:pt idx="11">
                  <c:v>34.023626918438183</c:v>
                </c:pt>
                <c:pt idx="12">
                  <c:v>34.404099456806946</c:v>
                </c:pt>
                <c:pt idx="13">
                  <c:v>34.792181445943086</c:v>
                </c:pt>
                <c:pt idx="14">
                  <c:v>35.18802507486194</c:v>
                </c:pt>
                <c:pt idx="15">
                  <c:v>35.591785576359179</c:v>
                </c:pt>
                <c:pt idx="16">
                  <c:v>36.003621287886361</c:v>
                </c:pt>
              </c:numCache>
            </c:numRef>
          </c:val>
          <c:smooth val="0"/>
          <c:extLst>
            <c:ext xmlns:c16="http://schemas.microsoft.com/office/drawing/2014/chart" uri="{C3380CC4-5D6E-409C-BE32-E72D297353CC}">
              <c16:uniqueId val="{00000003-CD8F-4982-8C1E-335C2A567ECC}"/>
            </c:ext>
          </c:extLst>
        </c:ser>
        <c:ser>
          <c:idx val="4"/>
          <c:order val="3"/>
          <c:tx>
            <c:strRef>
              <c:f>Scenario!$K$2</c:f>
              <c:strCache>
                <c:ptCount val="1"/>
                <c:pt idx="0">
                  <c:v>Huidige situatie gas</c:v>
                </c:pt>
              </c:strCache>
            </c:strRef>
          </c:tx>
          <c:spPr>
            <a:ln w="22225" cap="rnd">
              <a:solidFill>
                <a:schemeClr val="accent5"/>
              </a:solidFill>
            </a:ln>
            <a:effectLst>
              <a:glow rad="139700">
                <a:schemeClr val="accent5">
                  <a:satMod val="175000"/>
                  <a:alpha val="14000"/>
                </a:schemeClr>
              </a:glow>
            </a:effectLst>
          </c:spPr>
          <c:marker>
            <c:symbol val="none"/>
          </c:marker>
          <c:cat>
            <c:numRef>
              <c:f>Scenario!$F$4:$F$20</c:f>
              <c:numCache>
                <c:formatCode>General</c:formatCode>
                <c:ptCount val="17"/>
                <c:pt idx="0">
                  <c:v>2027</c:v>
                </c:pt>
                <c:pt idx="1">
                  <c:v>2028</c:v>
                </c:pt>
                <c:pt idx="2">
                  <c:v>2029</c:v>
                </c:pt>
                <c:pt idx="3">
                  <c:v>2030</c:v>
                </c:pt>
                <c:pt idx="4">
                  <c:v>2031</c:v>
                </c:pt>
                <c:pt idx="5">
                  <c:v>2032</c:v>
                </c:pt>
                <c:pt idx="6">
                  <c:v>2033</c:v>
                </c:pt>
                <c:pt idx="7">
                  <c:v>2034</c:v>
                </c:pt>
                <c:pt idx="8">
                  <c:v>2035</c:v>
                </c:pt>
                <c:pt idx="9">
                  <c:v>2036</c:v>
                </c:pt>
                <c:pt idx="10">
                  <c:v>2037</c:v>
                </c:pt>
                <c:pt idx="11">
                  <c:v>2038</c:v>
                </c:pt>
                <c:pt idx="12">
                  <c:v>2039</c:v>
                </c:pt>
                <c:pt idx="13">
                  <c:v>2040</c:v>
                </c:pt>
                <c:pt idx="14">
                  <c:v>2041</c:v>
                </c:pt>
                <c:pt idx="15">
                  <c:v>2042</c:v>
                </c:pt>
                <c:pt idx="16">
                  <c:v>2043</c:v>
                </c:pt>
              </c:numCache>
            </c:numRef>
          </c:cat>
          <c:val>
            <c:numRef>
              <c:f>Scenario!$K$4:$K$20</c:f>
              <c:numCache>
                <c:formatCode>_("€"* #,##0.00_);_("€"* \(#,##0.00\);_("€"* "-"??_);_(@_)</c:formatCode>
                <c:ptCount val="17"/>
                <c:pt idx="0">
                  <c:v>160.18319500000001</c:v>
                </c:pt>
                <c:pt idx="1">
                  <c:v>164.42486714999998</c:v>
                </c:pt>
                <c:pt idx="2">
                  <c:v>168.78251299050001</c:v>
                </c:pt>
                <c:pt idx="3">
                  <c:v>173.25938620273504</c:v>
                </c:pt>
                <c:pt idx="4">
                  <c:v>177.85883356778746</c:v>
                </c:pt>
                <c:pt idx="5">
                  <c:v>182.58429766937093</c:v>
                </c:pt>
                <c:pt idx="6">
                  <c:v>187.43931967589288</c:v>
                </c:pt>
                <c:pt idx="7">
                  <c:v>192.4275422041392</c:v>
                </c:pt>
                <c:pt idx="8">
                  <c:v>197.55271226699242</c:v>
                </c:pt>
                <c:pt idx="9">
                  <c:v>202.81868430766585</c:v>
                </c:pt>
                <c:pt idx="10">
                  <c:v>208.22942332301264</c:v>
                </c:pt>
                <c:pt idx="11">
                  <c:v>213.78900807854225</c:v>
                </c:pt>
                <c:pt idx="12">
                  <c:v>219.50163441785449</c:v>
                </c:pt>
                <c:pt idx="13">
                  <c:v>225.37161866928525</c:v>
                </c:pt>
                <c:pt idx="14">
                  <c:v>231.4034011526368</c:v>
                </c:pt>
                <c:pt idx="15">
                  <c:v>237.60154978895443</c:v>
                </c:pt>
                <c:pt idx="16">
                  <c:v>243.97076381639633</c:v>
                </c:pt>
              </c:numCache>
            </c:numRef>
          </c:val>
          <c:smooth val="0"/>
          <c:extLst>
            <c:ext xmlns:c16="http://schemas.microsoft.com/office/drawing/2014/chart" uri="{C3380CC4-5D6E-409C-BE32-E72D297353CC}">
              <c16:uniqueId val="{00000004-CD8F-4982-8C1E-335C2A567ECC}"/>
            </c:ext>
          </c:extLst>
        </c:ser>
        <c:dLbls>
          <c:showLegendKey val="0"/>
          <c:showVal val="0"/>
          <c:showCatName val="0"/>
          <c:showSerName val="0"/>
          <c:showPercent val="0"/>
          <c:showBubbleSize val="0"/>
        </c:dLbls>
        <c:smooth val="0"/>
        <c:axId val="1430154671"/>
        <c:axId val="1430157071"/>
      </c:lineChart>
      <c:catAx>
        <c:axId val="1430154671"/>
        <c:scaling>
          <c:orientation val="minMax"/>
        </c:scaling>
        <c:delete val="0"/>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crossAx val="1430157071"/>
        <c:crosses val="autoZero"/>
        <c:auto val="1"/>
        <c:lblAlgn val="ctr"/>
        <c:lblOffset val="100"/>
        <c:noMultiLvlLbl val="0"/>
      </c:catAx>
      <c:valAx>
        <c:axId val="1430157071"/>
        <c:scaling>
          <c:orientation val="minMax"/>
        </c:scaling>
        <c:delete val="0"/>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crossAx val="1430154671"/>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nl-NL"/>
        </a:p>
      </c:txPr>
    </c:legend>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6">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75000"/>
                <a:lumOff val="25000"/>
              </a:schemeClr>
            </a:gs>
            <a:gs pos="0">
              <a:schemeClr val="dk1">
                <a:lumMod val="65000"/>
                <a:lumOff val="3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36">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75000"/>
                <a:lumOff val="25000"/>
              </a:schemeClr>
            </a:gs>
            <a:gs pos="0">
              <a:schemeClr val="dk1">
                <a:lumMod val="65000"/>
                <a:lumOff val="3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1097754</xdr:colOff>
      <xdr:row>21</xdr:row>
      <xdr:rowOff>171448</xdr:rowOff>
    </xdr:from>
    <xdr:to>
      <xdr:col>11</xdr:col>
      <xdr:colOff>211254</xdr:colOff>
      <xdr:row>39</xdr:row>
      <xdr:rowOff>153898</xdr:rowOff>
    </xdr:to>
    <xdr:graphicFrame macro="">
      <xdr:nvGraphicFramePr>
        <xdr:cNvPr id="3" name="Grafiek 2">
          <a:extLst>
            <a:ext uri="{FF2B5EF4-FFF2-40B4-BE49-F238E27FC236}">
              <a16:creationId xmlns:a16="http://schemas.microsoft.com/office/drawing/2014/main" id="{37BDC051-DAA6-7B31-E617-0FE8151EA2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638175</xdr:colOff>
      <xdr:row>21</xdr:row>
      <xdr:rowOff>171448</xdr:rowOff>
    </xdr:from>
    <xdr:to>
      <xdr:col>6</xdr:col>
      <xdr:colOff>1094700</xdr:colOff>
      <xdr:row>39</xdr:row>
      <xdr:rowOff>153898</xdr:rowOff>
    </xdr:to>
    <xdr:graphicFrame macro="">
      <xdr:nvGraphicFramePr>
        <xdr:cNvPr id="5" name="Grafiek 4">
          <a:extLst>
            <a:ext uri="{FF2B5EF4-FFF2-40B4-BE49-F238E27FC236}">
              <a16:creationId xmlns:a16="http://schemas.microsoft.com/office/drawing/2014/main" id="{CA4B0BDF-1751-5BE9-312E-597EBB3AC2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09BE1-6C6A-4B40-A9AB-811A3A95FE29}">
  <dimension ref="B1:X43"/>
  <sheetViews>
    <sheetView tabSelected="1" zoomScaleNormal="100" workbookViewId="0">
      <selection activeCell="E1" sqref="E1"/>
    </sheetView>
  </sheetViews>
  <sheetFormatPr defaultRowHeight="14.25" x14ac:dyDescent="0.45"/>
  <cols>
    <col min="2" max="2" width="27.265625" bestFit="1" customWidth="1"/>
    <col min="3" max="3" width="13" customWidth="1"/>
    <col min="4" max="4" width="10.86328125" bestFit="1" customWidth="1"/>
    <col min="5" max="5" width="11.3984375" customWidth="1"/>
    <col min="6" max="22" width="9.59765625" customWidth="1"/>
  </cols>
  <sheetData>
    <row r="1" spans="2:24" x14ac:dyDescent="0.45">
      <c r="B1" s="37" t="s">
        <v>93</v>
      </c>
    </row>
    <row r="2" spans="2:24" x14ac:dyDescent="0.45">
      <c r="C2" s="2" t="s">
        <v>85</v>
      </c>
      <c r="D2" s="2"/>
      <c r="X2" s="2"/>
    </row>
    <row r="3" spans="2:24" x14ac:dyDescent="0.45">
      <c r="B3" s="2" t="s">
        <v>0</v>
      </c>
      <c r="E3" s="2">
        <v>2026</v>
      </c>
      <c r="F3" s="2">
        <f>E3+1</f>
        <v>2027</v>
      </c>
      <c r="G3" s="2">
        <f t="shared" ref="G3:V3" si="0">F3+1</f>
        <v>2028</v>
      </c>
      <c r="H3" s="2">
        <f t="shared" si="0"/>
        <v>2029</v>
      </c>
      <c r="I3" s="2">
        <f t="shared" si="0"/>
        <v>2030</v>
      </c>
      <c r="J3" s="2">
        <f t="shared" si="0"/>
        <v>2031</v>
      </c>
      <c r="K3" s="2">
        <f t="shared" si="0"/>
        <v>2032</v>
      </c>
      <c r="L3" s="2">
        <f t="shared" si="0"/>
        <v>2033</v>
      </c>
      <c r="M3" s="2">
        <f t="shared" si="0"/>
        <v>2034</v>
      </c>
      <c r="N3" s="2">
        <f t="shared" si="0"/>
        <v>2035</v>
      </c>
      <c r="O3" s="2">
        <f t="shared" si="0"/>
        <v>2036</v>
      </c>
      <c r="P3" s="2">
        <f t="shared" si="0"/>
        <v>2037</v>
      </c>
      <c r="Q3" s="2">
        <f t="shared" si="0"/>
        <v>2038</v>
      </c>
      <c r="R3" s="2">
        <f t="shared" si="0"/>
        <v>2039</v>
      </c>
      <c r="S3" s="2">
        <f t="shared" si="0"/>
        <v>2040</v>
      </c>
      <c r="T3" s="2">
        <f t="shared" si="0"/>
        <v>2041</v>
      </c>
      <c r="U3" s="2">
        <f t="shared" si="0"/>
        <v>2042</v>
      </c>
      <c r="V3" s="2">
        <f t="shared" si="0"/>
        <v>2043</v>
      </c>
    </row>
    <row r="4" spans="2:24" x14ac:dyDescent="0.45">
      <c r="B4" s="28" t="s">
        <v>1</v>
      </c>
      <c r="C4" s="8">
        <v>0.2402</v>
      </c>
      <c r="D4" t="s">
        <v>2</v>
      </c>
      <c r="E4" s="27">
        <f>C4</f>
        <v>0.2402</v>
      </c>
      <c r="F4" s="27">
        <f t="shared" ref="F4:V4" si="1">IF($C$22="Ja",E4*(1+$C$18),E4)</f>
        <v>0.245004</v>
      </c>
      <c r="G4" s="27">
        <f t="shared" si="1"/>
        <v>0.24990408</v>
      </c>
      <c r="H4" s="27">
        <f t="shared" si="1"/>
        <v>0.25490216160000001</v>
      </c>
      <c r="I4" s="27">
        <f t="shared" si="1"/>
        <v>0.26000020483200004</v>
      </c>
      <c r="J4" s="27">
        <f t="shared" si="1"/>
        <v>0.26520020892864005</v>
      </c>
      <c r="K4" s="27">
        <f t="shared" si="1"/>
        <v>0.27050421310721284</v>
      </c>
      <c r="L4" s="27">
        <f t="shared" si="1"/>
        <v>0.27591429736935713</v>
      </c>
      <c r="M4" s="27">
        <f t="shared" si="1"/>
        <v>0.28143258331674426</v>
      </c>
      <c r="N4" s="27">
        <f t="shared" si="1"/>
        <v>0.28706123498307917</v>
      </c>
      <c r="O4" s="27">
        <f t="shared" si="1"/>
        <v>0.29280245968274077</v>
      </c>
      <c r="P4" s="27">
        <f t="shared" si="1"/>
        <v>0.29865850887639561</v>
      </c>
      <c r="Q4" s="27">
        <f t="shared" si="1"/>
        <v>0.30463167905392352</v>
      </c>
      <c r="R4" s="27">
        <f t="shared" si="1"/>
        <v>0.310724312635002</v>
      </c>
      <c r="S4" s="27">
        <f t="shared" si="1"/>
        <v>0.31693879888770204</v>
      </c>
      <c r="T4" s="27">
        <f t="shared" si="1"/>
        <v>0.32327757486545611</v>
      </c>
      <c r="U4" s="27">
        <f t="shared" si="1"/>
        <v>0.32974312636276526</v>
      </c>
      <c r="V4" s="27">
        <f t="shared" si="1"/>
        <v>0.33633798889002059</v>
      </c>
    </row>
    <row r="5" spans="2:24" x14ac:dyDescent="0.45">
      <c r="B5" s="28" t="s">
        <v>86</v>
      </c>
      <c r="C5" s="8">
        <v>0.14326</v>
      </c>
      <c r="D5" t="s">
        <v>2</v>
      </c>
      <c r="E5" s="27">
        <f>IF($C$22="Ja",$C$5*(1+$C$18)^(E3-$E$3),$C$5)</f>
        <v>0.14326</v>
      </c>
      <c r="F5" s="27"/>
      <c r="G5" s="27"/>
      <c r="H5" s="27"/>
      <c r="I5" s="27"/>
      <c r="J5" s="27"/>
      <c r="K5" s="27"/>
      <c r="L5" s="27"/>
      <c r="M5" s="27"/>
      <c r="N5" s="27"/>
      <c r="O5" s="27"/>
      <c r="P5" s="27"/>
      <c r="Q5" s="27"/>
      <c r="R5" s="27"/>
      <c r="S5" s="27"/>
      <c r="T5" s="27"/>
      <c r="U5" s="27"/>
      <c r="V5" s="27"/>
    </row>
    <row r="6" spans="2:24" x14ac:dyDescent="0.45">
      <c r="B6" s="28" t="s">
        <v>87</v>
      </c>
      <c r="C6" s="8">
        <v>5.441E-2</v>
      </c>
      <c r="D6" t="s">
        <v>2</v>
      </c>
      <c r="E6" s="27"/>
      <c r="F6" s="27">
        <f t="shared" ref="F6:V8" si="2">IF($C$22="Ja",$C$6*(1+$C$18)^(F3-$E$3),$C$6)</f>
        <v>5.5498199999999998E-2</v>
      </c>
      <c r="G6" s="27">
        <f t="shared" si="2"/>
        <v>5.6608164000000002E-2</v>
      </c>
      <c r="H6" s="27">
        <f t="shared" si="2"/>
        <v>5.7740327279999996E-2</v>
      </c>
      <c r="I6" s="27">
        <f t="shared" si="2"/>
        <v>5.88951338256E-2</v>
      </c>
      <c r="J6" s="27">
        <f t="shared" si="2"/>
        <v>6.0073036502112001E-2</v>
      </c>
      <c r="K6" s="27">
        <f t="shared" si="2"/>
        <v>6.1274497232154244E-2</v>
      </c>
      <c r="L6" s="27">
        <f t="shared" si="2"/>
        <v>6.2499987176797313E-2</v>
      </c>
      <c r="M6" s="27">
        <f t="shared" si="2"/>
        <v>6.3749986920333263E-2</v>
      </c>
      <c r="N6" s="27">
        <f t="shared" si="2"/>
        <v>6.5024986658739931E-2</v>
      </c>
      <c r="O6" s="27">
        <f t="shared" si="2"/>
        <v>6.632548639191474E-2</v>
      </c>
      <c r="P6" s="27">
        <f t="shared" si="2"/>
        <v>6.7651996119753019E-2</v>
      </c>
      <c r="Q6" s="27">
        <f t="shared" si="2"/>
        <v>6.9005036042148082E-2</v>
      </c>
      <c r="R6" s="27">
        <f t="shared" si="2"/>
        <v>7.0385136762991046E-2</v>
      </c>
      <c r="S6" s="27">
        <f t="shared" si="2"/>
        <v>7.1792839498250868E-2</v>
      </c>
      <c r="T6" s="27">
        <f t="shared" si="2"/>
        <v>7.3228696288215878E-2</v>
      </c>
      <c r="U6" s="27">
        <f t="shared" si="2"/>
        <v>7.4693270213980201E-2</v>
      </c>
      <c r="V6" s="27">
        <f t="shared" si="2"/>
        <v>7.6187135618259808E-2</v>
      </c>
    </row>
    <row r="7" spans="2:24" x14ac:dyDescent="0.45">
      <c r="B7" s="28" t="s">
        <v>91</v>
      </c>
      <c r="C7" s="8">
        <v>0.13328999999999999</v>
      </c>
      <c r="D7" t="s">
        <v>2</v>
      </c>
      <c r="E7" s="27">
        <f>IF($C$22="Ja",$C$7*(1+$C$18)^(E3-$E$3),$C$7)</f>
        <v>0.13328999999999999</v>
      </c>
      <c r="F7" s="27"/>
      <c r="G7" s="27"/>
      <c r="H7" s="27"/>
      <c r="I7" s="27"/>
      <c r="J7" s="27"/>
      <c r="K7" s="27"/>
      <c r="L7" s="27"/>
      <c r="M7" s="27"/>
      <c r="N7" s="27"/>
      <c r="O7" s="27"/>
      <c r="P7" s="27"/>
      <c r="Q7" s="27"/>
      <c r="R7" s="27"/>
      <c r="S7" s="27"/>
      <c r="T7" s="27"/>
      <c r="U7" s="27"/>
      <c r="V7" s="27"/>
    </row>
    <row r="8" spans="2:24" x14ac:dyDescent="0.45">
      <c r="B8" s="28" t="s">
        <v>92</v>
      </c>
      <c r="C8" s="8">
        <v>3.866E-2</v>
      </c>
      <c r="D8" t="s">
        <v>2</v>
      </c>
      <c r="E8" s="27"/>
      <c r="F8" s="27">
        <f>IF($C$22="Ja",$C$8*(1+$C$18)^(F3-$E$3),$C$8)</f>
        <v>3.9433200000000002E-2</v>
      </c>
      <c r="G8" s="27">
        <f t="shared" ref="G8:V8" si="3">IF($C$22="Ja",$C$8*(1+$C$18)^(G3-$E$3),$C$8)</f>
        <v>4.0221864000000003E-2</v>
      </c>
      <c r="H8" s="27">
        <f t="shared" si="3"/>
        <v>4.1026301279999997E-2</v>
      </c>
      <c r="I8" s="27">
        <f t="shared" si="3"/>
        <v>4.18468273056E-2</v>
      </c>
      <c r="J8" s="27">
        <f t="shared" si="3"/>
        <v>4.2683763851711999E-2</v>
      </c>
      <c r="K8" s="27">
        <f t="shared" si="3"/>
        <v>4.353743912874624E-2</v>
      </c>
      <c r="L8" s="27">
        <f t="shared" si="3"/>
        <v>4.4408187911321159E-2</v>
      </c>
      <c r="M8" s="27">
        <f t="shared" si="3"/>
        <v>4.5296351669547583E-2</v>
      </c>
      <c r="N8" s="27">
        <f t="shared" si="3"/>
        <v>4.620227870293854E-2</v>
      </c>
      <c r="O8" s="27">
        <f t="shared" si="3"/>
        <v>4.7126324276997311E-2</v>
      </c>
      <c r="P8" s="27">
        <f t="shared" si="3"/>
        <v>4.8068850762537245E-2</v>
      </c>
      <c r="Q8" s="27">
        <f t="shared" si="3"/>
        <v>4.9030227777788003E-2</v>
      </c>
      <c r="R8" s="27">
        <f t="shared" si="3"/>
        <v>5.0010832333343753E-2</v>
      </c>
      <c r="S8" s="27">
        <f t="shared" si="3"/>
        <v>5.1011048980010638E-2</v>
      </c>
      <c r="T8" s="27">
        <f t="shared" si="3"/>
        <v>5.2031269959610833E-2</v>
      </c>
      <c r="U8" s="27">
        <f t="shared" si="3"/>
        <v>5.3071895358803065E-2</v>
      </c>
      <c r="V8" s="27">
        <f t="shared" si="3"/>
        <v>5.4133333265979126E-2</v>
      </c>
    </row>
    <row r="9" spans="2:24" x14ac:dyDescent="0.45">
      <c r="B9" s="31" t="s">
        <v>3</v>
      </c>
      <c r="C9" s="8" t="s">
        <v>4</v>
      </c>
      <c r="D9" t="s">
        <v>5</v>
      </c>
      <c r="E9" s="20">
        <f>IF($C$9="Ja",Scenario!O11,0)/12</f>
        <v>18.054130499999996</v>
      </c>
      <c r="F9" s="20">
        <f>IF($C$9="Ja",Scenario!P11,0)/12</f>
        <v>5.3145208052999999</v>
      </c>
      <c r="G9" s="20">
        <f>IF($C$9="Ja",Scenario!Q11,0)/12</f>
        <v>5.3935709640120004</v>
      </c>
      <c r="H9" s="20">
        <f>IF($C$9="Ja",Scenario!R11,0)/12</f>
        <v>5.4736573207503598</v>
      </c>
      <c r="I9" s="20">
        <f>IF($C$9="Ja",Scenario!S11,0)/12</f>
        <v>5.5547897033726485</v>
      </c>
      <c r="J9" s="20">
        <f>IF($C$9="Ja",Scenario!T11,0)/12</f>
        <v>5.6369779183715307</v>
      </c>
      <c r="K9" s="20">
        <f>IF($C$9="Ja",Scenario!U11,0)/12</f>
        <v>5.7202317460890173</v>
      </c>
      <c r="L9" s="20">
        <f>IF($C$9="Ja",Scenario!V11,0)/12</f>
        <v>5.8045609357478547</v>
      </c>
      <c r="M9" s="20">
        <f>IF($C$9="Ja",Scenario!W11,0)/12</f>
        <v>5.8899752002946109</v>
      </c>
      <c r="N9" s="20">
        <f>IF($C$9="Ja",Scenario!X11,0)/12</f>
        <v>5.9764842110489385</v>
      </c>
      <c r="O9" s="20">
        <f>IF($C$9="Ja",Scenario!Y11,0)/12</f>
        <v>6.0640975921533213</v>
      </c>
      <c r="P9" s="20">
        <f>IF($C$9="Ja",Scenario!Z11,0)/12</f>
        <v>6.1528249148174581</v>
      </c>
      <c r="Q9" s="20">
        <f>IF($C$9="Ja",Scenario!AA11,0)/12</f>
        <v>6.2426756913513008</v>
      </c>
      <c r="R9" s="20">
        <f>IF($C$9="Ja",Scenario!AB11,0)/12</f>
        <v>6.3336593689805687</v>
      </c>
      <c r="S9" s="20">
        <f>IF($C$9="Ja",Scenario!AC11,0)/12</f>
        <v>6.4257853234384692</v>
      </c>
      <c r="T9" s="20">
        <f>IF($C$9="Ja",Scenario!AD11,0)/12</f>
        <v>6.5190628523270897</v>
      </c>
      <c r="U9" s="20">
        <f>IF($C$9="Ja",Scenario!AE11,0)/12</f>
        <v>6.6135011682418829</v>
      </c>
      <c r="V9" s="20">
        <f>IF($C$9="Ja",Scenario!AF11,0)/12</f>
        <v>6.709109391652337</v>
      </c>
    </row>
    <row r="10" spans="2:24" ht="14.45" customHeight="1" x14ac:dyDescent="0.45">
      <c r="B10" s="29" t="s">
        <v>6</v>
      </c>
      <c r="C10" s="8">
        <v>1.20933</v>
      </c>
      <c r="D10" t="s">
        <v>7</v>
      </c>
      <c r="E10" s="27">
        <f>C10</f>
        <v>1.20933</v>
      </c>
      <c r="F10" s="27">
        <f>IF($C$22="Ja",E10*(1+$C$19),E10)</f>
        <v>1.2456099</v>
      </c>
      <c r="G10" s="27">
        <f t="shared" ref="G10:V10" si="4">IF($C$22="Ja",F10*(1+$C$19),F10)</f>
        <v>1.282978197</v>
      </c>
      <c r="H10" s="27">
        <f t="shared" si="4"/>
        <v>1.32146754291</v>
      </c>
      <c r="I10" s="27">
        <f t="shared" si="4"/>
        <v>1.3611115691973001</v>
      </c>
      <c r="J10" s="27">
        <f t="shared" si="4"/>
        <v>1.4019449162732192</v>
      </c>
      <c r="K10" s="27">
        <f t="shared" si="4"/>
        <v>1.4440032637614157</v>
      </c>
      <c r="L10" s="27">
        <f t="shared" si="4"/>
        <v>1.4873233616742583</v>
      </c>
      <c r="M10" s="27">
        <f t="shared" si="4"/>
        <v>1.5319430625244861</v>
      </c>
      <c r="N10" s="27">
        <f t="shared" si="4"/>
        <v>1.5779013544002207</v>
      </c>
      <c r="O10" s="27">
        <f t="shared" si="4"/>
        <v>1.6252383950322273</v>
      </c>
      <c r="P10" s="27">
        <f t="shared" si="4"/>
        <v>1.6739955468831942</v>
      </c>
      <c r="Q10" s="27">
        <f t="shared" si="4"/>
        <v>1.7242154132896901</v>
      </c>
      <c r="R10" s="27">
        <f t="shared" si="4"/>
        <v>1.7759418756883809</v>
      </c>
      <c r="S10" s="27">
        <f t="shared" si="4"/>
        <v>1.8292201319590324</v>
      </c>
      <c r="T10" s="27">
        <f t="shared" si="4"/>
        <v>1.8840967359178034</v>
      </c>
      <c r="U10" s="27">
        <f t="shared" si="4"/>
        <v>1.9406196379953375</v>
      </c>
      <c r="V10" s="27">
        <f t="shared" si="4"/>
        <v>1.9988382271351977</v>
      </c>
    </row>
    <row r="11" spans="2:24" ht="14.45" customHeight="1" x14ac:dyDescent="0.45">
      <c r="B11" s="30" t="s">
        <v>8</v>
      </c>
      <c r="C11" s="7">
        <v>40.97</v>
      </c>
      <c r="D11" t="s">
        <v>9</v>
      </c>
      <c r="E11" s="20">
        <f>C11</f>
        <v>40.97</v>
      </c>
      <c r="F11" s="20">
        <f>IF($C$22="Ja",E11*(1+$C$20),E11)</f>
        <v>41.789400000000001</v>
      </c>
      <c r="G11" s="20">
        <f t="shared" ref="G11:V11" si="5">IF($C$22="Ja",F11*(1+$C$20),F11)</f>
        <v>42.625188000000001</v>
      </c>
      <c r="H11" s="20">
        <f t="shared" si="5"/>
        <v>43.477691759999999</v>
      </c>
      <c r="I11" s="20">
        <f t="shared" si="5"/>
        <v>44.3472455952</v>
      </c>
      <c r="J11" s="20">
        <f t="shared" si="5"/>
        <v>45.234190507104003</v>
      </c>
      <c r="K11" s="20">
        <f t="shared" si="5"/>
        <v>46.138874317246085</v>
      </c>
      <c r="L11" s="20">
        <f t="shared" si="5"/>
        <v>47.061651803591005</v>
      </c>
      <c r="M11" s="20">
        <f t="shared" si="5"/>
        <v>48.002884839662826</v>
      </c>
      <c r="N11" s="20">
        <f t="shared" si="5"/>
        <v>48.962942536456083</v>
      </c>
      <c r="O11" s="20">
        <f t="shared" si="5"/>
        <v>49.942201387185207</v>
      </c>
      <c r="P11" s="20">
        <f t="shared" si="5"/>
        <v>50.941045414928915</v>
      </c>
      <c r="Q11" s="20">
        <f t="shared" si="5"/>
        <v>51.959866323227494</v>
      </c>
      <c r="R11" s="20">
        <f t="shared" si="5"/>
        <v>52.999063649692047</v>
      </c>
      <c r="S11" s="20">
        <f t="shared" si="5"/>
        <v>54.059044922685892</v>
      </c>
      <c r="T11" s="20">
        <f t="shared" si="5"/>
        <v>55.140225821139609</v>
      </c>
      <c r="U11" s="20">
        <f t="shared" si="5"/>
        <v>56.243030337562402</v>
      </c>
      <c r="V11" s="20">
        <f t="shared" si="5"/>
        <v>57.36789094431365</v>
      </c>
    </row>
    <row r="12" spans="2:24" ht="14.45" customHeight="1" x14ac:dyDescent="0.45">
      <c r="B12" s="31" t="s">
        <v>10</v>
      </c>
      <c r="C12" s="20">
        <f>(C13+C14)*365</f>
        <v>577.94200000000001</v>
      </c>
      <c r="D12" t="s">
        <v>11</v>
      </c>
      <c r="E12" s="20">
        <f>C12</f>
        <v>577.94200000000001</v>
      </c>
      <c r="F12" s="20">
        <f>IF($C$22="Ja",E12*(1+$C$21),E12)</f>
        <v>589.50084000000004</v>
      </c>
      <c r="G12" s="20">
        <f t="shared" ref="G12:V12" si="6">IF($C$22="Ja",F12*(1+$C$21),F12)</f>
        <v>601.29085680000003</v>
      </c>
      <c r="H12" s="20">
        <f t="shared" si="6"/>
        <v>613.31667393600003</v>
      </c>
      <c r="I12" s="20">
        <f t="shared" si="6"/>
        <v>625.58300741471999</v>
      </c>
      <c r="J12" s="20">
        <f t="shared" si="6"/>
        <v>638.09466756301435</v>
      </c>
      <c r="K12" s="20">
        <f t="shared" si="6"/>
        <v>650.85656091427461</v>
      </c>
      <c r="L12" s="20">
        <f t="shared" si="6"/>
        <v>663.87369213256011</v>
      </c>
      <c r="M12" s="20">
        <f t="shared" si="6"/>
        <v>677.15116597521137</v>
      </c>
      <c r="N12" s="20">
        <f t="shared" si="6"/>
        <v>690.69418929471556</v>
      </c>
      <c r="O12" s="20">
        <f t="shared" si="6"/>
        <v>704.50807308060985</v>
      </c>
      <c r="P12" s="20">
        <f t="shared" si="6"/>
        <v>718.59823454222203</v>
      </c>
      <c r="Q12" s="20">
        <f t="shared" si="6"/>
        <v>732.97019923306652</v>
      </c>
      <c r="R12" s="20">
        <f t="shared" si="6"/>
        <v>747.62960321772789</v>
      </c>
      <c r="S12" s="20">
        <f t="shared" si="6"/>
        <v>762.58219528208247</v>
      </c>
      <c r="T12" s="20">
        <f t="shared" si="6"/>
        <v>777.83383918772415</v>
      </c>
      <c r="U12" s="20">
        <f t="shared" si="6"/>
        <v>793.39051597147864</v>
      </c>
      <c r="V12" s="20">
        <f t="shared" si="6"/>
        <v>809.25832629090826</v>
      </c>
    </row>
    <row r="13" spans="2:24" ht="14.45" customHeight="1" x14ac:dyDescent="0.45">
      <c r="B13" s="34" t="s">
        <v>12</v>
      </c>
      <c r="C13" s="35">
        <f>478.042/365</f>
        <v>1.3097041095890409</v>
      </c>
      <c r="D13" t="s">
        <v>13</v>
      </c>
      <c r="E13" s="20"/>
      <c r="F13" s="20"/>
      <c r="G13" s="20"/>
      <c r="H13" s="20"/>
      <c r="I13" s="20"/>
      <c r="J13" s="20"/>
      <c r="K13" s="20"/>
      <c r="L13" s="20"/>
      <c r="M13" s="20"/>
      <c r="N13" s="20"/>
      <c r="O13" s="20"/>
      <c r="P13" s="20"/>
      <c r="Q13" s="20"/>
      <c r="R13" s="20"/>
      <c r="S13" s="20"/>
      <c r="T13" s="20"/>
      <c r="U13" s="20"/>
      <c r="V13" s="20"/>
    </row>
    <row r="14" spans="2:24" ht="14.45" customHeight="1" x14ac:dyDescent="0.45">
      <c r="B14" s="34" t="s">
        <v>14</v>
      </c>
      <c r="C14" s="35">
        <f>99.9/365</f>
        <v>0.27369863013698631</v>
      </c>
      <c r="D14" t="s">
        <v>13</v>
      </c>
      <c r="E14" s="20"/>
      <c r="F14" s="20"/>
      <c r="G14" s="20"/>
      <c r="H14" s="20"/>
      <c r="I14" s="20"/>
      <c r="J14" s="20"/>
      <c r="K14" s="20"/>
      <c r="L14" s="20"/>
      <c r="M14" s="20"/>
      <c r="N14" s="20"/>
      <c r="O14" s="20"/>
      <c r="P14" s="20"/>
      <c r="Q14" s="20"/>
      <c r="R14" s="20"/>
      <c r="S14" s="20"/>
      <c r="T14" s="20"/>
      <c r="U14" s="20"/>
      <c r="V14" s="20"/>
    </row>
    <row r="15" spans="2:24" ht="14.45" customHeight="1" x14ac:dyDescent="0.45">
      <c r="B15" s="31" t="s">
        <v>15</v>
      </c>
      <c r="D15" t="s">
        <v>11</v>
      </c>
      <c r="E15" s="20">
        <f>Scenario!O17</f>
        <v>190.43950000000001</v>
      </c>
      <c r="F15" s="20">
        <f>IF($C$22="Ja",E15*(1+$C$21),E15)</f>
        <v>194.24829000000003</v>
      </c>
      <c r="G15" s="20">
        <f t="shared" ref="G15:V15" si="7">IF($C$22="Ja",F15*(1+$C$21),F15)</f>
        <v>198.13325580000003</v>
      </c>
      <c r="H15" s="20">
        <f t="shared" si="7"/>
        <v>202.09592091600004</v>
      </c>
      <c r="I15" s="20">
        <f t="shared" si="7"/>
        <v>206.13783933432003</v>
      </c>
      <c r="J15" s="20">
        <f t="shared" si="7"/>
        <v>210.26059612100644</v>
      </c>
      <c r="K15" s="20">
        <f t="shared" si="7"/>
        <v>214.46580804342656</v>
      </c>
      <c r="L15" s="20">
        <f t="shared" si="7"/>
        <v>218.7551242042951</v>
      </c>
      <c r="M15" s="20">
        <f t="shared" si="7"/>
        <v>223.13022668838101</v>
      </c>
      <c r="N15" s="20">
        <f t="shared" si="7"/>
        <v>227.59283122214865</v>
      </c>
      <c r="O15" s="20">
        <f t="shared" si="7"/>
        <v>232.14468784659164</v>
      </c>
      <c r="P15" s="20">
        <f t="shared" si="7"/>
        <v>236.78758160352348</v>
      </c>
      <c r="Q15" s="20">
        <f t="shared" si="7"/>
        <v>241.52333323559395</v>
      </c>
      <c r="R15" s="20">
        <f t="shared" si="7"/>
        <v>246.35379990030583</v>
      </c>
      <c r="S15" s="20">
        <f t="shared" si="7"/>
        <v>251.28087589831196</v>
      </c>
      <c r="T15" s="20">
        <f t="shared" si="7"/>
        <v>256.30649341627822</v>
      </c>
      <c r="U15" s="20">
        <f t="shared" si="7"/>
        <v>261.43262328460378</v>
      </c>
      <c r="V15" s="20">
        <f t="shared" si="7"/>
        <v>266.66127575029589</v>
      </c>
    </row>
    <row r="16" spans="2:24" ht="14.45" customHeight="1" x14ac:dyDescent="0.45">
      <c r="B16" s="31" t="s">
        <v>16</v>
      </c>
      <c r="C16" s="7">
        <f>618.82+31.68+145.38</f>
        <v>795.88</v>
      </c>
      <c r="D16" t="s">
        <v>11</v>
      </c>
      <c r="E16" s="20">
        <f>C16</f>
        <v>795.88</v>
      </c>
      <c r="F16" s="20">
        <f>IF($C$22="Ja",E16*(1+$C$21),E16)</f>
        <v>811.79759999999999</v>
      </c>
      <c r="G16" s="20">
        <f t="shared" ref="G16:V16" si="8">IF($C$22="Ja",F16*(1+$C$21),F16)</f>
        <v>828.03355199999999</v>
      </c>
      <c r="H16" s="20">
        <f t="shared" si="8"/>
        <v>844.59422303999997</v>
      </c>
      <c r="I16" s="20">
        <f t="shared" si="8"/>
        <v>861.48610750080002</v>
      </c>
      <c r="J16" s="20">
        <f t="shared" si="8"/>
        <v>878.71582965081598</v>
      </c>
      <c r="K16" s="20">
        <f t="shared" si="8"/>
        <v>896.29014624383228</v>
      </c>
      <c r="L16" s="20">
        <f t="shared" si="8"/>
        <v>914.2159491687089</v>
      </c>
      <c r="M16" s="20">
        <f t="shared" si="8"/>
        <v>932.50026815208309</v>
      </c>
      <c r="N16" s="20">
        <f t="shared" si="8"/>
        <v>951.15027351512481</v>
      </c>
      <c r="O16" s="20">
        <f t="shared" si="8"/>
        <v>970.17327898542737</v>
      </c>
      <c r="P16" s="20">
        <f t="shared" si="8"/>
        <v>989.57674456513598</v>
      </c>
      <c r="Q16" s="20">
        <f t="shared" si="8"/>
        <v>1009.3682794564387</v>
      </c>
      <c r="R16" s="20">
        <f t="shared" si="8"/>
        <v>1029.5556450455674</v>
      </c>
      <c r="S16" s="20">
        <f t="shared" si="8"/>
        <v>1050.1467579464788</v>
      </c>
      <c r="T16" s="20">
        <f t="shared" si="8"/>
        <v>1071.1496931054085</v>
      </c>
      <c r="U16" s="20">
        <f t="shared" si="8"/>
        <v>1092.5726869675166</v>
      </c>
      <c r="V16" s="20">
        <f t="shared" si="8"/>
        <v>1114.4241407068669</v>
      </c>
    </row>
    <row r="17" spans="2:22" ht="14.45" customHeight="1" x14ac:dyDescent="0.45">
      <c r="B17" s="31" t="s">
        <v>17</v>
      </c>
      <c r="C17" s="7">
        <v>-635.19000000000005</v>
      </c>
      <c r="D17" t="s">
        <v>11</v>
      </c>
      <c r="E17" s="20">
        <f>C17</f>
        <v>-635.19000000000005</v>
      </c>
      <c r="F17" s="20">
        <f>IF($C$22="Ja",E17*(1+$C$21),E17)</f>
        <v>-647.89380000000006</v>
      </c>
      <c r="G17" s="20">
        <f t="shared" ref="G17:V17" si="9">IF($C$22="Ja",F17*(1+$C$21),F17)</f>
        <v>-660.85167600000011</v>
      </c>
      <c r="H17" s="20">
        <f t="shared" si="9"/>
        <v>-674.06870952000008</v>
      </c>
      <c r="I17" s="20">
        <f t="shared" si="9"/>
        <v>-687.55008371040014</v>
      </c>
      <c r="J17" s="20">
        <f t="shared" si="9"/>
        <v>-701.3010853846082</v>
      </c>
      <c r="K17" s="20">
        <f t="shared" si="9"/>
        <v>-715.32710709230037</v>
      </c>
      <c r="L17" s="20">
        <f t="shared" si="9"/>
        <v>-729.63364923414633</v>
      </c>
      <c r="M17" s="20">
        <f t="shared" si="9"/>
        <v>-744.2263222188293</v>
      </c>
      <c r="N17" s="20">
        <f t="shared" si="9"/>
        <v>-759.11084866320584</v>
      </c>
      <c r="O17" s="20">
        <f t="shared" si="9"/>
        <v>-774.29306563646992</v>
      </c>
      <c r="P17" s="20">
        <f t="shared" si="9"/>
        <v>-789.77892694919933</v>
      </c>
      <c r="Q17" s="20">
        <f t="shared" si="9"/>
        <v>-805.57450548818338</v>
      </c>
      <c r="R17" s="20">
        <f t="shared" si="9"/>
        <v>-821.68599559794711</v>
      </c>
      <c r="S17" s="20">
        <f t="shared" si="9"/>
        <v>-838.11971550990609</v>
      </c>
      <c r="T17" s="20">
        <f t="shared" si="9"/>
        <v>-854.88210982010423</v>
      </c>
      <c r="U17" s="20">
        <f t="shared" si="9"/>
        <v>-871.97975201650638</v>
      </c>
      <c r="V17" s="20">
        <f t="shared" si="9"/>
        <v>-889.4193470568365</v>
      </c>
    </row>
    <row r="18" spans="2:22" ht="14.45" customHeight="1" x14ac:dyDescent="0.45">
      <c r="B18" s="28" t="s">
        <v>18</v>
      </c>
      <c r="C18" s="18">
        <v>0.02</v>
      </c>
      <c r="D18" t="s">
        <v>11</v>
      </c>
      <c r="G18" s="20"/>
      <c r="H18" s="20"/>
      <c r="I18" s="20"/>
      <c r="J18" s="20"/>
      <c r="K18" s="20"/>
      <c r="L18" s="20"/>
      <c r="M18" s="20"/>
      <c r="N18" s="20"/>
      <c r="O18" s="20"/>
      <c r="P18" s="20"/>
      <c r="Q18" s="20"/>
      <c r="R18" s="20"/>
      <c r="S18" s="20"/>
      <c r="T18" s="20"/>
      <c r="U18" s="20"/>
      <c r="V18" s="20"/>
    </row>
    <row r="19" spans="2:22" ht="14.45" customHeight="1" x14ac:dyDescent="0.45">
      <c r="B19" s="29" t="s">
        <v>19</v>
      </c>
      <c r="C19" s="18">
        <v>0.03</v>
      </c>
      <c r="D19" t="s">
        <v>11</v>
      </c>
      <c r="G19" s="33"/>
      <c r="H19" s="33"/>
      <c r="I19" s="33"/>
      <c r="J19" s="33"/>
      <c r="K19" s="33"/>
      <c r="L19" s="20"/>
      <c r="M19" s="20"/>
      <c r="N19" s="20"/>
      <c r="O19" s="20"/>
      <c r="P19" s="20"/>
      <c r="Q19" s="20"/>
      <c r="R19" s="20"/>
      <c r="S19" s="20"/>
      <c r="T19" s="20"/>
      <c r="U19" s="20"/>
      <c r="V19" s="20"/>
    </row>
    <row r="20" spans="2:22" ht="14.45" customHeight="1" x14ac:dyDescent="0.45">
      <c r="B20" s="30" t="s">
        <v>20</v>
      </c>
      <c r="C20" s="18">
        <v>0.02</v>
      </c>
      <c r="D20" t="s">
        <v>11</v>
      </c>
      <c r="G20" s="27"/>
      <c r="H20" s="27"/>
      <c r="I20" s="27"/>
      <c r="J20" s="27"/>
      <c r="K20" s="27"/>
      <c r="L20" s="20"/>
      <c r="M20" s="20"/>
      <c r="N20" s="20"/>
      <c r="O20" s="20"/>
      <c r="P20" s="20"/>
      <c r="Q20" s="20"/>
      <c r="R20" s="20"/>
      <c r="S20" s="20"/>
      <c r="T20" s="20"/>
      <c r="U20" s="20"/>
      <c r="V20" s="20"/>
    </row>
    <row r="21" spans="2:22" ht="14.45" customHeight="1" x14ac:dyDescent="0.45">
      <c r="B21" s="31" t="s">
        <v>21</v>
      </c>
      <c r="C21" s="18">
        <v>0.02</v>
      </c>
      <c r="D21" t="s">
        <v>11</v>
      </c>
      <c r="G21" s="20"/>
      <c r="H21" s="20"/>
      <c r="I21" s="20"/>
      <c r="J21" s="20"/>
      <c r="K21" s="20"/>
      <c r="L21" s="20"/>
      <c r="M21" s="20"/>
      <c r="N21" s="20"/>
      <c r="O21" s="20"/>
      <c r="P21" s="20"/>
      <c r="Q21" s="20"/>
      <c r="R21" s="20"/>
      <c r="S21" s="20"/>
      <c r="T21" s="20"/>
      <c r="U21" s="20"/>
      <c r="V21" s="20"/>
    </row>
    <row r="22" spans="2:22" x14ac:dyDescent="0.45">
      <c r="B22" t="s">
        <v>22</v>
      </c>
      <c r="C22" s="7" t="s">
        <v>4</v>
      </c>
    </row>
    <row r="24" spans="2:22" x14ac:dyDescent="0.45">
      <c r="B24" s="2" t="s">
        <v>23</v>
      </c>
      <c r="C24" s="2"/>
      <c r="D24" s="2"/>
    </row>
    <row r="25" spans="2:22" x14ac:dyDescent="0.45">
      <c r="B25" t="s">
        <v>24</v>
      </c>
      <c r="C25" s="6">
        <v>430</v>
      </c>
      <c r="D25" t="s">
        <v>25</v>
      </c>
    </row>
    <row r="26" spans="2:22" x14ac:dyDescent="0.45">
      <c r="B26" t="s">
        <v>26</v>
      </c>
      <c r="E26" s="1">
        <v>1</v>
      </c>
      <c r="F26" s="1"/>
      <c r="G26" s="1"/>
      <c r="H26" s="1"/>
      <c r="I26" s="1"/>
      <c r="J26" s="1"/>
      <c r="K26" s="1"/>
      <c r="L26" s="1"/>
      <c r="M26" s="1"/>
      <c r="N26" s="1"/>
      <c r="O26" s="1"/>
      <c r="P26" s="1"/>
      <c r="Q26" s="1"/>
      <c r="R26" s="1"/>
      <c r="S26" s="1"/>
      <c r="T26" s="1"/>
      <c r="U26" s="1"/>
      <c r="V26" s="1"/>
    </row>
    <row r="27" spans="2:22" x14ac:dyDescent="0.45">
      <c r="B27" t="s">
        <v>27</v>
      </c>
      <c r="C27" s="19">
        <f>AVERAGE(E27:V27)</f>
        <v>0.29999999999999993</v>
      </c>
      <c r="E27" s="16">
        <v>0.3</v>
      </c>
      <c r="F27" s="16">
        <v>0.3</v>
      </c>
      <c r="G27" s="16">
        <v>0.3</v>
      </c>
      <c r="H27" s="16">
        <v>0.3</v>
      </c>
      <c r="I27" s="16">
        <v>0.3</v>
      </c>
      <c r="J27" s="16">
        <v>0.3</v>
      </c>
      <c r="K27" s="16">
        <v>0.3</v>
      </c>
      <c r="L27" s="16">
        <v>0.3</v>
      </c>
      <c r="M27" s="16">
        <v>0.3</v>
      </c>
      <c r="N27" s="16">
        <v>0.3</v>
      </c>
      <c r="O27" s="16">
        <v>0.3</v>
      </c>
      <c r="P27" s="16">
        <v>0.3</v>
      </c>
      <c r="Q27" s="16">
        <v>0.3</v>
      </c>
      <c r="R27" s="16">
        <v>0.3</v>
      </c>
      <c r="S27" s="16">
        <v>0.3</v>
      </c>
      <c r="T27" s="16">
        <v>0.3</v>
      </c>
      <c r="U27" s="16">
        <v>0.3</v>
      </c>
      <c r="V27" s="16">
        <v>0.3</v>
      </c>
    </row>
    <row r="28" spans="2:22" x14ac:dyDescent="0.45">
      <c r="B28" t="s">
        <v>28</v>
      </c>
      <c r="C28" s="6">
        <v>0.5</v>
      </c>
      <c r="D28" t="s">
        <v>29</v>
      </c>
      <c r="E28" s="1">
        <v>1</v>
      </c>
      <c r="F28" s="1">
        <f>E28-($C$28/100)</f>
        <v>0.995</v>
      </c>
      <c r="G28" s="1">
        <f t="shared" ref="G28:V28" si="10">F28-($C$28/100)</f>
        <v>0.99</v>
      </c>
      <c r="H28" s="1">
        <f t="shared" si="10"/>
        <v>0.98499999999999999</v>
      </c>
      <c r="I28" s="1">
        <f t="shared" si="10"/>
        <v>0.98</v>
      </c>
      <c r="J28" s="1">
        <f t="shared" si="10"/>
        <v>0.97499999999999998</v>
      </c>
      <c r="K28" s="1">
        <f t="shared" si="10"/>
        <v>0.97</v>
      </c>
      <c r="L28" s="1">
        <f t="shared" si="10"/>
        <v>0.96499999999999997</v>
      </c>
      <c r="M28" s="1">
        <f t="shared" si="10"/>
        <v>0.96</v>
      </c>
      <c r="N28" s="1">
        <f t="shared" si="10"/>
        <v>0.95499999999999996</v>
      </c>
      <c r="O28" s="1">
        <f t="shared" si="10"/>
        <v>0.95</v>
      </c>
      <c r="P28" s="1">
        <f t="shared" si="10"/>
        <v>0.94499999999999995</v>
      </c>
      <c r="Q28" s="1">
        <f t="shared" si="10"/>
        <v>0.94</v>
      </c>
      <c r="R28" s="1">
        <f t="shared" si="10"/>
        <v>0.93499999999999994</v>
      </c>
      <c r="S28" s="1">
        <f t="shared" si="10"/>
        <v>0.92999999999999994</v>
      </c>
      <c r="T28" s="1">
        <f t="shared" si="10"/>
        <v>0.92499999999999993</v>
      </c>
      <c r="U28" s="1">
        <f t="shared" si="10"/>
        <v>0.91999999999999993</v>
      </c>
      <c r="V28" s="1">
        <f t="shared" si="10"/>
        <v>0.91499999999999992</v>
      </c>
    </row>
    <row r="30" spans="2:22" x14ac:dyDescent="0.45">
      <c r="B30" s="2" t="s">
        <v>30</v>
      </c>
    </row>
    <row r="31" spans="2:22" x14ac:dyDescent="0.45">
      <c r="B31" t="s">
        <v>31</v>
      </c>
      <c r="C31" s="7">
        <v>15</v>
      </c>
      <c r="D31" t="s">
        <v>5</v>
      </c>
      <c r="E31" s="3">
        <f>C31</f>
        <v>15</v>
      </c>
      <c r="F31" s="3">
        <f>E31*(1+$C$35)</f>
        <v>15.3</v>
      </c>
      <c r="G31" s="3">
        <f t="shared" ref="G31:V31" si="11">F31*(1+$C$35)</f>
        <v>15.606000000000002</v>
      </c>
      <c r="H31" s="3">
        <f t="shared" si="11"/>
        <v>15.918120000000002</v>
      </c>
      <c r="I31" s="3">
        <f t="shared" si="11"/>
        <v>16.236482400000003</v>
      </c>
      <c r="J31" s="3">
        <f t="shared" si="11"/>
        <v>16.561212048000005</v>
      </c>
      <c r="K31" s="3">
        <f t="shared" si="11"/>
        <v>16.892436288960006</v>
      </c>
      <c r="L31" s="3">
        <f t="shared" si="11"/>
        <v>17.230285014739206</v>
      </c>
      <c r="M31" s="3">
        <f t="shared" si="11"/>
        <v>17.574890715033991</v>
      </c>
      <c r="N31" s="3">
        <f t="shared" si="11"/>
        <v>17.92638852933467</v>
      </c>
      <c r="O31" s="3">
        <f t="shared" si="11"/>
        <v>18.284916299921363</v>
      </c>
      <c r="P31" s="3">
        <f t="shared" si="11"/>
        <v>18.65061462591979</v>
      </c>
      <c r="Q31" s="3">
        <f t="shared" si="11"/>
        <v>19.023626918438186</v>
      </c>
      <c r="R31" s="3">
        <f t="shared" si="11"/>
        <v>19.40409945680695</v>
      </c>
      <c r="S31" s="3">
        <f t="shared" si="11"/>
        <v>19.79218144594309</v>
      </c>
      <c r="T31" s="3">
        <f t="shared" si="11"/>
        <v>20.188025074861951</v>
      </c>
      <c r="U31" s="3">
        <f t="shared" si="11"/>
        <v>20.591785576359189</v>
      </c>
      <c r="V31" s="3">
        <f t="shared" si="11"/>
        <v>21.003621287886375</v>
      </c>
    </row>
    <row r="32" spans="2:22" x14ac:dyDescent="0.45">
      <c r="B32" t="s">
        <v>32</v>
      </c>
      <c r="C32" s="7">
        <v>30</v>
      </c>
      <c r="D32" t="s">
        <v>5</v>
      </c>
      <c r="E32" s="3">
        <f t="shared" ref="E32:E34" si="12">C32</f>
        <v>30</v>
      </c>
      <c r="F32" s="3">
        <f>E32*(1+$C$35)</f>
        <v>30.6</v>
      </c>
      <c r="G32" s="3">
        <f t="shared" ref="G32:V32" si="13">F32*(1+$C$35)</f>
        <v>31.212000000000003</v>
      </c>
      <c r="H32" s="3">
        <f t="shared" si="13"/>
        <v>31.836240000000004</v>
      </c>
      <c r="I32" s="3">
        <f t="shared" si="13"/>
        <v>32.472964800000007</v>
      </c>
      <c r="J32" s="3">
        <f t="shared" si="13"/>
        <v>33.12242409600001</v>
      </c>
      <c r="K32" s="3">
        <f t="shared" si="13"/>
        <v>33.784872577920012</v>
      </c>
      <c r="L32" s="3">
        <f t="shared" si="13"/>
        <v>34.460570029478411</v>
      </c>
      <c r="M32" s="3">
        <f t="shared" si="13"/>
        <v>35.149781430067982</v>
      </c>
      <c r="N32" s="3">
        <f t="shared" si="13"/>
        <v>35.852777058669339</v>
      </c>
      <c r="O32" s="3">
        <f t="shared" si="13"/>
        <v>36.569832599842726</v>
      </c>
      <c r="P32" s="3">
        <f t="shared" si="13"/>
        <v>37.30122925183958</v>
      </c>
      <c r="Q32" s="3">
        <f t="shared" si="13"/>
        <v>38.047253836876372</v>
      </c>
      <c r="R32" s="3">
        <f t="shared" si="13"/>
        <v>38.8081989136139</v>
      </c>
      <c r="S32" s="3">
        <f t="shared" si="13"/>
        <v>39.58436289188618</v>
      </c>
      <c r="T32" s="3">
        <f t="shared" si="13"/>
        <v>40.376050149723902</v>
      </c>
      <c r="U32" s="3">
        <f t="shared" si="13"/>
        <v>41.183571152718379</v>
      </c>
      <c r="V32" s="3">
        <f t="shared" si="13"/>
        <v>42.00724257577275</v>
      </c>
    </row>
    <row r="33" spans="2:22" x14ac:dyDescent="0.45">
      <c r="B33" t="s">
        <v>33</v>
      </c>
      <c r="C33" s="7">
        <v>0</v>
      </c>
      <c r="D33" t="s">
        <v>5</v>
      </c>
      <c r="E33" s="3">
        <f>$C$33</f>
        <v>0</v>
      </c>
      <c r="F33" s="3">
        <f t="shared" ref="F33:V33" si="14">$C$33</f>
        <v>0</v>
      </c>
      <c r="G33" s="3">
        <f t="shared" si="14"/>
        <v>0</v>
      </c>
      <c r="H33" s="3">
        <f t="shared" si="14"/>
        <v>0</v>
      </c>
      <c r="I33" s="3">
        <f t="shared" si="14"/>
        <v>0</v>
      </c>
      <c r="J33" s="3">
        <f t="shared" si="14"/>
        <v>0</v>
      </c>
      <c r="K33" s="3">
        <f t="shared" si="14"/>
        <v>0</v>
      </c>
      <c r="L33" s="3">
        <f t="shared" si="14"/>
        <v>0</v>
      </c>
      <c r="M33" s="3">
        <f t="shared" si="14"/>
        <v>0</v>
      </c>
      <c r="N33" s="3">
        <f t="shared" si="14"/>
        <v>0</v>
      </c>
      <c r="O33" s="3">
        <f t="shared" si="14"/>
        <v>0</v>
      </c>
      <c r="P33" s="3">
        <f t="shared" si="14"/>
        <v>0</v>
      </c>
      <c r="Q33" s="3">
        <f t="shared" si="14"/>
        <v>0</v>
      </c>
      <c r="R33" s="3">
        <f t="shared" si="14"/>
        <v>0</v>
      </c>
      <c r="S33" s="3">
        <f t="shared" si="14"/>
        <v>0</v>
      </c>
      <c r="T33" s="3">
        <f t="shared" si="14"/>
        <v>0</v>
      </c>
      <c r="U33" s="3">
        <f t="shared" si="14"/>
        <v>0</v>
      </c>
      <c r="V33" s="3">
        <f t="shared" si="14"/>
        <v>0</v>
      </c>
    </row>
    <row r="34" spans="2:22" x14ac:dyDescent="0.45">
      <c r="B34" t="s">
        <v>23</v>
      </c>
      <c r="C34" s="7">
        <v>2.5</v>
      </c>
      <c r="D34" t="s">
        <v>34</v>
      </c>
      <c r="E34" s="3">
        <f t="shared" si="12"/>
        <v>2.5</v>
      </c>
      <c r="F34" s="3">
        <f>E34</f>
        <v>2.5</v>
      </c>
      <c r="G34" s="3">
        <f t="shared" ref="G34:V34" si="15">F34</f>
        <v>2.5</v>
      </c>
      <c r="H34" s="3">
        <f t="shared" si="15"/>
        <v>2.5</v>
      </c>
      <c r="I34" s="3">
        <f t="shared" si="15"/>
        <v>2.5</v>
      </c>
      <c r="J34" s="3">
        <f t="shared" si="15"/>
        <v>2.5</v>
      </c>
      <c r="K34" s="3">
        <f t="shared" si="15"/>
        <v>2.5</v>
      </c>
      <c r="L34" s="3">
        <f t="shared" si="15"/>
        <v>2.5</v>
      </c>
      <c r="M34" s="3">
        <f t="shared" si="15"/>
        <v>2.5</v>
      </c>
      <c r="N34" s="3">
        <f t="shared" si="15"/>
        <v>2.5</v>
      </c>
      <c r="O34" s="3">
        <f t="shared" si="15"/>
        <v>2.5</v>
      </c>
      <c r="P34" s="3">
        <f t="shared" si="15"/>
        <v>2.5</v>
      </c>
      <c r="Q34" s="3">
        <f t="shared" si="15"/>
        <v>2.5</v>
      </c>
      <c r="R34" s="3">
        <f t="shared" si="15"/>
        <v>2.5</v>
      </c>
      <c r="S34" s="3">
        <f t="shared" si="15"/>
        <v>2.5</v>
      </c>
      <c r="T34" s="3">
        <f t="shared" si="15"/>
        <v>2.5</v>
      </c>
      <c r="U34" s="3">
        <f t="shared" si="15"/>
        <v>2.5</v>
      </c>
      <c r="V34" s="3">
        <f t="shared" si="15"/>
        <v>2.5</v>
      </c>
    </row>
    <row r="35" spans="2:22" x14ac:dyDescent="0.45">
      <c r="B35" t="s">
        <v>35</v>
      </c>
      <c r="C35" s="18">
        <v>0.02</v>
      </c>
      <c r="D35" t="s">
        <v>11</v>
      </c>
    </row>
    <row r="37" spans="2:22" x14ac:dyDescent="0.45">
      <c r="B37" s="2" t="s">
        <v>36</v>
      </c>
    </row>
    <row r="38" spans="2:22" x14ac:dyDescent="0.45">
      <c r="B38" t="s">
        <v>37</v>
      </c>
      <c r="C38" s="17">
        <v>3.5</v>
      </c>
    </row>
    <row r="39" spans="2:22" x14ac:dyDescent="0.45">
      <c r="B39" t="s">
        <v>38</v>
      </c>
      <c r="C39" s="18">
        <v>0.7</v>
      </c>
    </row>
    <row r="43" spans="2:22" x14ac:dyDescent="0.45">
      <c r="L43" s="32"/>
    </row>
  </sheetData>
  <dataValidations count="1">
    <dataValidation type="list" allowBlank="1" showInputMessage="1" showErrorMessage="1" sqref="C22 C9" xr:uid="{E2F78039-8DC1-42E1-93C3-A75003B9A1EE}">
      <formula1>"Ja,Nee"</formula1>
    </dataValidation>
  </dataValidations>
  <pageMargins left="0.7" right="0.7" top="0.75" bottom="0.75" header="0.3" footer="0.3"/>
  <pageSetup paperSize="9" orientation="portrait" verticalDpi="0" r:id="rId1"/>
  <ignoredErrors>
    <ignoredError sqref="E33:V33 E15"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79BCA-0CF4-4E4B-AEA7-E18797F972B2}">
  <dimension ref="B1:AF53"/>
  <sheetViews>
    <sheetView zoomScaleNormal="100" workbookViewId="0">
      <selection activeCell="B5" sqref="B5"/>
    </sheetView>
  </sheetViews>
  <sheetFormatPr defaultRowHeight="14.25" x14ac:dyDescent="0.45"/>
  <cols>
    <col min="2" max="2" width="23.73046875" bestFit="1" customWidth="1"/>
    <col min="3" max="3" width="12.59765625" customWidth="1"/>
    <col min="5" max="5" width="5.59765625" customWidth="1"/>
    <col min="7" max="12" width="17.59765625" customWidth="1"/>
    <col min="13" max="13" width="5.53125" customWidth="1"/>
    <col min="14" max="14" width="32" style="12" bestFit="1" customWidth="1"/>
    <col min="15" max="32" width="10.59765625" style="12" customWidth="1"/>
  </cols>
  <sheetData>
    <row r="1" spans="2:32" ht="14.45" customHeight="1" thickBot="1" x14ac:dyDescent="0.5">
      <c r="K1" s="36"/>
      <c r="L1" s="36"/>
      <c r="M1" s="36"/>
    </row>
    <row r="2" spans="2:32" ht="14.45" customHeight="1" x14ac:dyDescent="0.45">
      <c r="F2" s="50"/>
      <c r="G2" s="53" t="s">
        <v>39</v>
      </c>
      <c r="H2" s="53" t="s">
        <v>88</v>
      </c>
      <c r="I2" s="54" t="s">
        <v>41</v>
      </c>
      <c r="J2" s="54" t="s">
        <v>42</v>
      </c>
      <c r="K2" s="54" t="s">
        <v>43</v>
      </c>
      <c r="L2" s="55" t="s">
        <v>89</v>
      </c>
      <c r="M2" s="47"/>
      <c r="O2" s="12">
        <v>2026</v>
      </c>
      <c r="P2" s="12">
        <f>O2+1</f>
        <v>2027</v>
      </c>
      <c r="Q2" s="12">
        <f t="shared" ref="Q2:AF2" si="0">P2+1</f>
        <v>2028</v>
      </c>
      <c r="R2" s="12">
        <f t="shared" si="0"/>
        <v>2029</v>
      </c>
      <c r="S2" s="12">
        <f t="shared" si="0"/>
        <v>2030</v>
      </c>
      <c r="T2" s="12">
        <f t="shared" si="0"/>
        <v>2031</v>
      </c>
      <c r="U2" s="12">
        <f t="shared" si="0"/>
        <v>2032</v>
      </c>
      <c r="V2" s="12">
        <f t="shared" si="0"/>
        <v>2033</v>
      </c>
      <c r="W2" s="12">
        <f t="shared" si="0"/>
        <v>2034</v>
      </c>
      <c r="X2" s="12">
        <f t="shared" si="0"/>
        <v>2035</v>
      </c>
      <c r="Y2" s="12">
        <f t="shared" si="0"/>
        <v>2036</v>
      </c>
      <c r="Z2" s="12">
        <f t="shared" si="0"/>
        <v>2037</v>
      </c>
      <c r="AA2" s="12">
        <f t="shared" si="0"/>
        <v>2038</v>
      </c>
      <c r="AB2" s="12">
        <f t="shared" si="0"/>
        <v>2039</v>
      </c>
      <c r="AC2" s="12">
        <f t="shared" si="0"/>
        <v>2040</v>
      </c>
      <c r="AD2" s="12">
        <f t="shared" si="0"/>
        <v>2041</v>
      </c>
      <c r="AE2" s="12">
        <f t="shared" si="0"/>
        <v>2042</v>
      </c>
      <c r="AF2" s="12">
        <f t="shared" si="0"/>
        <v>2043</v>
      </c>
    </row>
    <row r="3" spans="2:32" ht="14.45" customHeight="1" x14ac:dyDescent="0.45">
      <c r="B3" s="2" t="s">
        <v>44</v>
      </c>
      <c r="F3" s="51">
        <v>2026</v>
      </c>
      <c r="G3" s="22">
        <f>$O$21</f>
        <v>1692.3452319999997</v>
      </c>
      <c r="H3" s="22">
        <f>G3/12</f>
        <v>141.02876933333332</v>
      </c>
      <c r="I3" s="23">
        <f>H3-J3</f>
        <v>111.02876933333332</v>
      </c>
      <c r="J3" s="23">
        <f>$O$3+$O$4</f>
        <v>30</v>
      </c>
      <c r="K3" s="23">
        <f>$O$22</f>
        <v>156.05433333333335</v>
      </c>
      <c r="L3" s="48">
        <f>K3-H3</f>
        <v>15.025564000000031</v>
      </c>
      <c r="M3" s="38"/>
      <c r="N3" s="13" t="s">
        <v>45</v>
      </c>
      <c r="O3" s="14">
        <f>$C$17*(1+(Uitgangspunten!$C$35))^(Scenario!O2-$O$2)</f>
        <v>15</v>
      </c>
      <c r="P3" s="14">
        <f>$C$17*(1+(Uitgangspunten!$C$35))^(Scenario!P2-$O$2)</f>
        <v>15.3</v>
      </c>
      <c r="Q3" s="14">
        <f>$C$17*(1+(Uitgangspunten!$C$35))^(Scenario!Q2-$O$2)</f>
        <v>15.606</v>
      </c>
      <c r="R3" s="14">
        <f>$C$17*(1+(Uitgangspunten!$C$35))^(Scenario!R2-$O$2)</f>
        <v>15.918119999999998</v>
      </c>
      <c r="S3" s="14">
        <f>$C$17*(1+(Uitgangspunten!$C$35))^(Scenario!S2-$O$2)</f>
        <v>16.2364824</v>
      </c>
      <c r="T3" s="14">
        <f>$C$17*(1+(Uitgangspunten!$C$35))^(Scenario!T2-$O$2)</f>
        <v>16.561212048000002</v>
      </c>
      <c r="U3" s="14">
        <f>$C$17*(1+(Uitgangspunten!$C$35))^(Scenario!U2-$O$2)</f>
        <v>16.892436288960003</v>
      </c>
      <c r="V3" s="14">
        <f>$C$17*(1+(Uitgangspunten!$C$35))^(Scenario!V2-$O$2)</f>
        <v>17.230285014739199</v>
      </c>
      <c r="W3" s="14">
        <f>$C$17*(1+(Uitgangspunten!$C$35))^(Scenario!W2-$O$2)</f>
        <v>17.574890715033984</v>
      </c>
      <c r="X3" s="14">
        <f>$C$17*(1+(Uitgangspunten!$C$35))^(Scenario!X2-$O$2)</f>
        <v>17.926388529334663</v>
      </c>
      <c r="Y3" s="14">
        <f>$C$17*(1+(Uitgangspunten!$C$35))^(Scenario!Y2-$O$2)</f>
        <v>18.284916299921356</v>
      </c>
      <c r="Z3" s="14">
        <f>$C$17*(1+(Uitgangspunten!$C$35))^(Scenario!Z2-$O$2)</f>
        <v>18.650614625919779</v>
      </c>
      <c r="AA3" s="14">
        <f>$C$17*(1+(Uitgangspunten!$C$35))^(Scenario!AA2-$O$2)</f>
        <v>19.023626918438179</v>
      </c>
      <c r="AB3" s="14">
        <f>$C$17*(1+(Uitgangspunten!$C$35))^(Scenario!AB2-$O$2)</f>
        <v>19.404099456806943</v>
      </c>
      <c r="AC3" s="14">
        <f>$C$17*(1+(Uitgangspunten!$C$35))^(Scenario!AC2-$O$2)</f>
        <v>19.792181445943083</v>
      </c>
      <c r="AD3" s="14">
        <f>$C$17*(1+(Uitgangspunten!$C$35))^(Scenario!AD2-$O$2)</f>
        <v>20.188025074861937</v>
      </c>
      <c r="AE3" s="14">
        <f>$C$17*(1+(Uitgangspunten!$C$35))^(Scenario!AE2-$O$2)</f>
        <v>20.591785576359179</v>
      </c>
      <c r="AF3" s="14">
        <f>$C$17*(1+(Uitgangspunten!$C$35))^(Scenario!AF2-$O$2)</f>
        <v>21.003621287886364</v>
      </c>
    </row>
    <row r="4" spans="2:32" ht="14.45" customHeight="1" x14ac:dyDescent="0.45">
      <c r="B4" t="s">
        <v>46</v>
      </c>
      <c r="C4" s="9">
        <v>2000</v>
      </c>
      <c r="D4" t="s">
        <v>2</v>
      </c>
      <c r="F4" s="51">
        <f>F3+1</f>
        <v>2027</v>
      </c>
      <c r="G4" s="22">
        <f>$P$21</f>
        <v>1721.1306214506005</v>
      </c>
      <c r="H4" s="22">
        <f t="shared" ref="H4:H20" si="1">G4/12</f>
        <v>143.42755178755004</v>
      </c>
      <c r="I4" s="23">
        <f t="shared" ref="I4:I20" si="2">H4-J4</f>
        <v>113.12755178755005</v>
      </c>
      <c r="J4" s="23">
        <f>$P$3+$P$4</f>
        <v>30.3</v>
      </c>
      <c r="K4" s="23">
        <f>$P$22</f>
        <v>160.18319500000001</v>
      </c>
      <c r="L4" s="48">
        <f t="shared" ref="L4:L20" si="3">K4-H4</f>
        <v>16.755643212449968</v>
      </c>
      <c r="M4" s="38"/>
      <c r="N4" s="13" t="s">
        <v>47</v>
      </c>
      <c r="O4" s="14">
        <f>$C$8*Uitgangspunten!$C$34</f>
        <v>15</v>
      </c>
      <c r="P4" s="14">
        <f>$C$8*Uitgangspunten!$C$34</f>
        <v>15</v>
      </c>
      <c r="Q4" s="14">
        <f>$C$8*Uitgangspunten!$C$34</f>
        <v>15</v>
      </c>
      <c r="R4" s="14">
        <f>$C$8*Uitgangspunten!$C$34</f>
        <v>15</v>
      </c>
      <c r="S4" s="14">
        <f>$C$8*Uitgangspunten!$C$34</f>
        <v>15</v>
      </c>
      <c r="T4" s="14">
        <f>$C$8*Uitgangspunten!$C$34</f>
        <v>15</v>
      </c>
      <c r="U4" s="14">
        <f>$C$8*Uitgangspunten!$C$34</f>
        <v>15</v>
      </c>
      <c r="V4" s="14">
        <f>$C$8*Uitgangspunten!$C$34</f>
        <v>15</v>
      </c>
      <c r="W4" s="14">
        <f>$C$8*Uitgangspunten!$C$34</f>
        <v>15</v>
      </c>
      <c r="X4" s="14">
        <f>$C$8*Uitgangspunten!$C$34</f>
        <v>15</v>
      </c>
      <c r="Y4" s="14">
        <f>$C$8*Uitgangspunten!$C$34</f>
        <v>15</v>
      </c>
      <c r="Z4" s="14">
        <f>$C$8*Uitgangspunten!$C$34</f>
        <v>15</v>
      </c>
      <c r="AA4" s="14">
        <f>$C$8*Uitgangspunten!$C$34</f>
        <v>15</v>
      </c>
      <c r="AB4" s="14">
        <f>$C$8*Uitgangspunten!$C$34</f>
        <v>15</v>
      </c>
      <c r="AC4" s="14">
        <f>$C$8*Uitgangspunten!$C$34</f>
        <v>15</v>
      </c>
      <c r="AD4" s="14">
        <f>$C$8*Uitgangspunten!$C$34</f>
        <v>15</v>
      </c>
      <c r="AE4" s="14">
        <f>$C$8*Uitgangspunten!$C$34</f>
        <v>15</v>
      </c>
      <c r="AF4" s="14">
        <f>$C$8*Uitgangspunten!$C$34</f>
        <v>15</v>
      </c>
    </row>
    <row r="5" spans="2:32" ht="14.45" customHeight="1" x14ac:dyDescent="0.45">
      <c r="B5" t="s">
        <v>48</v>
      </c>
      <c r="C5" s="9">
        <v>1000</v>
      </c>
      <c r="D5" t="s">
        <v>7</v>
      </c>
      <c r="F5" s="51">
        <f t="shared" ref="F5:F20" si="4">F4+1</f>
        <v>2028</v>
      </c>
      <c r="G5" s="22">
        <f>$Q$21</f>
        <v>1756.3667678616239</v>
      </c>
      <c r="H5" s="22">
        <f t="shared" si="1"/>
        <v>146.363897321802</v>
      </c>
      <c r="I5" s="23">
        <f t="shared" si="2"/>
        <v>115.75789732180201</v>
      </c>
      <c r="J5" s="23">
        <f>$Q$3+$Q$4</f>
        <v>30.606000000000002</v>
      </c>
      <c r="K5" s="23">
        <f>$Q$22</f>
        <v>164.42486714999998</v>
      </c>
      <c r="L5" s="48">
        <f t="shared" si="3"/>
        <v>18.060969828197983</v>
      </c>
      <c r="M5" s="38"/>
      <c r="N5" s="13" t="s">
        <v>49</v>
      </c>
      <c r="O5" s="15">
        <f>$C$9-($C$10*Uitgangspunten!E28*Uitgangspunten!E27)</f>
        <v>3303.4</v>
      </c>
      <c r="P5" s="15">
        <f>$C$9-($C$10*Uitgangspunten!F28*Uitgangspunten!F27)</f>
        <v>3306.8829999999998</v>
      </c>
      <c r="Q5" s="15">
        <f>$C$9-($C$10*Uitgangspunten!G28*Uitgangspunten!G27)</f>
        <v>3310.366</v>
      </c>
      <c r="R5" s="15">
        <f>$C$9-($C$10*Uitgangspunten!H28*Uitgangspunten!H27)</f>
        <v>3313.8490000000002</v>
      </c>
      <c r="S5" s="15">
        <f>$C$9-($C$10*Uitgangspunten!I28*Uitgangspunten!I27)</f>
        <v>3317.3319999999999</v>
      </c>
      <c r="T5" s="15">
        <f>$C$9-($C$10*Uitgangspunten!J28*Uitgangspunten!J27)</f>
        <v>3320.8150000000001</v>
      </c>
      <c r="U5" s="15">
        <f>$C$9-($C$10*Uitgangspunten!K28*Uitgangspunten!K27)</f>
        <v>3324.2979999999998</v>
      </c>
      <c r="V5" s="15">
        <f>$C$9-($C$10*Uitgangspunten!L28*Uitgangspunten!L27)</f>
        <v>3327.7809999999999</v>
      </c>
      <c r="W5" s="15">
        <f>$C$9-($C$10*Uitgangspunten!M28*Uitgangspunten!M27)</f>
        <v>3331.2640000000001</v>
      </c>
      <c r="X5" s="15">
        <f>$C$9-($C$10*Uitgangspunten!N28*Uitgangspunten!N27)</f>
        <v>3334.7470000000003</v>
      </c>
      <c r="Y5" s="15">
        <f>$C$9-($C$10*Uitgangspunten!O28*Uitgangspunten!O27)</f>
        <v>3338.23</v>
      </c>
      <c r="Z5" s="15">
        <f>$C$9-($C$10*Uitgangspunten!P28*Uitgangspunten!P27)</f>
        <v>3341.7130000000002</v>
      </c>
      <c r="AA5" s="15">
        <f>$C$9-($C$10*Uitgangspunten!Q28*Uitgangspunten!Q27)</f>
        <v>3345.1959999999999</v>
      </c>
      <c r="AB5" s="15">
        <f>$C$9-($C$10*Uitgangspunten!R28*Uitgangspunten!R27)</f>
        <v>3348.6790000000001</v>
      </c>
      <c r="AC5" s="15">
        <f>$C$9-($C$10*Uitgangspunten!S28*Uitgangspunten!S27)</f>
        <v>3352.1620000000003</v>
      </c>
      <c r="AD5" s="15">
        <f>$C$9-($C$10*Uitgangspunten!T28*Uitgangspunten!T27)</f>
        <v>3355.645</v>
      </c>
      <c r="AE5" s="15">
        <f>$C$9-($C$10*Uitgangspunten!U28*Uitgangspunten!U27)</f>
        <v>3359.1280000000002</v>
      </c>
      <c r="AF5" s="15">
        <f>$C$9-($C$10*Uitgangspunten!V28*Uitgangspunten!V27)</f>
        <v>3362.6109999999999</v>
      </c>
    </row>
    <row r="6" spans="2:32" ht="14.45" customHeight="1" x14ac:dyDescent="0.45">
      <c r="F6" s="51">
        <f t="shared" si="4"/>
        <v>2029</v>
      </c>
      <c r="G6" s="22">
        <f>$R$21</f>
        <v>1792.4332761775086</v>
      </c>
      <c r="H6" s="22">
        <f t="shared" si="1"/>
        <v>149.36943968145906</v>
      </c>
      <c r="I6" s="23">
        <f t="shared" si="2"/>
        <v>118.45131968145905</v>
      </c>
      <c r="J6" s="23">
        <f>$R$3+$R$4</f>
        <v>30.918119999999998</v>
      </c>
      <c r="K6" s="23">
        <f>$R$22</f>
        <v>168.78251299050001</v>
      </c>
      <c r="L6" s="48">
        <f t="shared" si="3"/>
        <v>19.413073309040954</v>
      </c>
      <c r="M6" s="38"/>
      <c r="N6" s="13" t="s">
        <v>50</v>
      </c>
      <c r="O6" s="15">
        <f>O5-O8</f>
        <v>1678.0000000000002</v>
      </c>
      <c r="P6" s="15">
        <f t="shared" ref="P6:AF6" si="5">P5-P8</f>
        <v>3306.8829999999998</v>
      </c>
      <c r="Q6" s="15">
        <f t="shared" si="5"/>
        <v>3310.366</v>
      </c>
      <c r="R6" s="15">
        <f t="shared" si="5"/>
        <v>3313.8490000000002</v>
      </c>
      <c r="S6" s="15">
        <f t="shared" si="5"/>
        <v>3317.3319999999999</v>
      </c>
      <c r="T6" s="15">
        <f t="shared" si="5"/>
        <v>3320.8150000000001</v>
      </c>
      <c r="U6" s="15">
        <f t="shared" si="5"/>
        <v>3324.2979999999998</v>
      </c>
      <c r="V6" s="15">
        <f t="shared" si="5"/>
        <v>3327.7809999999999</v>
      </c>
      <c r="W6" s="15">
        <f t="shared" si="5"/>
        <v>3331.2640000000001</v>
      </c>
      <c r="X6" s="15">
        <f t="shared" si="5"/>
        <v>3334.7470000000003</v>
      </c>
      <c r="Y6" s="15">
        <f t="shared" si="5"/>
        <v>3338.23</v>
      </c>
      <c r="Z6" s="15">
        <f t="shared" si="5"/>
        <v>3341.7130000000002</v>
      </c>
      <c r="AA6" s="15">
        <f t="shared" si="5"/>
        <v>3345.1959999999999</v>
      </c>
      <c r="AB6" s="15">
        <f t="shared" si="5"/>
        <v>3348.6790000000001</v>
      </c>
      <c r="AC6" s="15">
        <f t="shared" si="5"/>
        <v>3352.1620000000003</v>
      </c>
      <c r="AD6" s="15">
        <f t="shared" si="5"/>
        <v>3355.645</v>
      </c>
      <c r="AE6" s="15">
        <f t="shared" si="5"/>
        <v>3359.1280000000002</v>
      </c>
      <c r="AF6" s="15">
        <f t="shared" si="5"/>
        <v>3362.6109999999999</v>
      </c>
    </row>
    <row r="7" spans="2:32" ht="14.45" customHeight="1" x14ac:dyDescent="0.45">
      <c r="B7" s="2" t="s">
        <v>36</v>
      </c>
      <c r="C7" s="6" t="s">
        <v>84</v>
      </c>
      <c r="F7" s="51">
        <f t="shared" si="4"/>
        <v>2030</v>
      </c>
      <c r="G7" s="22">
        <f>$S$21</f>
        <v>1829.3503874647945</v>
      </c>
      <c r="H7" s="22">
        <f t="shared" si="1"/>
        <v>152.44586562206621</v>
      </c>
      <c r="I7" s="23">
        <f t="shared" si="2"/>
        <v>121.20938322206621</v>
      </c>
      <c r="J7" s="23">
        <f>$S$3+$S$4</f>
        <v>31.2364824</v>
      </c>
      <c r="K7" s="23">
        <f>$S$22</f>
        <v>173.25938620273504</v>
      </c>
      <c r="L7" s="48">
        <f t="shared" si="3"/>
        <v>20.813520580668836</v>
      </c>
      <c r="M7" s="38"/>
      <c r="N7" s="13" t="s">
        <v>51</v>
      </c>
      <c r="O7" s="15">
        <f>$C$10*Uitgangspunten!E28*(1-Uitgangspunten!E27)*Uitgangspunten!E26</f>
        <v>1625.3999999999999</v>
      </c>
      <c r="P7" s="15">
        <f>$C$10*Uitgangspunten!F28*(1-Uitgangspunten!F27)*Uitgangspunten!F26</f>
        <v>0</v>
      </c>
      <c r="Q7" s="15">
        <f>$C$10*Uitgangspunten!G28*(1-Uitgangspunten!G27)*Uitgangspunten!G26</f>
        <v>0</v>
      </c>
      <c r="R7" s="15">
        <f>$C$10*Uitgangspunten!H28*(1-Uitgangspunten!H27)*Uitgangspunten!H26</f>
        <v>0</v>
      </c>
      <c r="S7" s="15">
        <f>$C$10*Uitgangspunten!I28*(1-Uitgangspunten!I27)*Uitgangspunten!I26</f>
        <v>0</v>
      </c>
      <c r="T7" s="15">
        <f>$C$10*Uitgangspunten!J28*(1-Uitgangspunten!J27)*Uitgangspunten!J26</f>
        <v>0</v>
      </c>
      <c r="U7" s="15">
        <f>$C$10*Uitgangspunten!K28*(1-Uitgangspunten!K27)*Uitgangspunten!K26</f>
        <v>0</v>
      </c>
      <c r="V7" s="15">
        <f>$C$10*Uitgangspunten!L28*(1-Uitgangspunten!L27)*Uitgangspunten!L26</f>
        <v>0</v>
      </c>
      <c r="W7" s="15">
        <f>$C$10*Uitgangspunten!M28*(1-Uitgangspunten!M27)*Uitgangspunten!M26</f>
        <v>0</v>
      </c>
      <c r="X7" s="15">
        <f>$C$10*Uitgangspunten!N28*(1-Uitgangspunten!N27)*Uitgangspunten!N26</f>
        <v>0</v>
      </c>
      <c r="Y7" s="15">
        <f>$C$10*Uitgangspunten!O28*(1-Uitgangspunten!O27)*Uitgangspunten!O26</f>
        <v>0</v>
      </c>
      <c r="Z7" s="15">
        <f>$C$10*Uitgangspunten!P28*(1-Uitgangspunten!P27)*Uitgangspunten!P26</f>
        <v>0</v>
      </c>
      <c r="AA7" s="15">
        <f>$C$10*Uitgangspunten!Q28*(1-Uitgangspunten!Q27)*Uitgangspunten!Q26</f>
        <v>0</v>
      </c>
      <c r="AB7" s="15">
        <f>$C$10*Uitgangspunten!R28*(1-Uitgangspunten!R27)*Uitgangspunten!R26</f>
        <v>0</v>
      </c>
      <c r="AC7" s="15">
        <f>$C$10*Uitgangspunten!S28*(1-Uitgangspunten!S27)*Uitgangspunten!S26</f>
        <v>0</v>
      </c>
      <c r="AD7" s="15">
        <f>$C$10*Uitgangspunten!T28*(1-Uitgangspunten!T27)*Uitgangspunten!T26</f>
        <v>0</v>
      </c>
      <c r="AE7" s="15">
        <f>$C$10*Uitgangspunten!U28*(1-Uitgangspunten!U27)*Uitgangspunten!U26</f>
        <v>0</v>
      </c>
      <c r="AF7" s="15">
        <f>$C$10*Uitgangspunten!V28*(1-Uitgangspunten!V27)*Uitgangspunten!V26</f>
        <v>0</v>
      </c>
    </row>
    <row r="8" spans="2:32" ht="14.45" customHeight="1" x14ac:dyDescent="0.45">
      <c r="B8" s="2" t="s">
        <v>52</v>
      </c>
      <c r="C8" s="21">
        <v>6</v>
      </c>
      <c r="F8" s="51">
        <f t="shared" si="4"/>
        <v>2031</v>
      </c>
      <c r="G8" s="22">
        <f>$T$21</f>
        <v>1867.1388539193877</v>
      </c>
      <c r="H8" s="22">
        <f t="shared" si="1"/>
        <v>155.59490449328231</v>
      </c>
      <c r="I8" s="23">
        <f t="shared" si="2"/>
        <v>124.03369244528231</v>
      </c>
      <c r="J8" s="23">
        <f>$T$3+$T$4</f>
        <v>31.561212048000002</v>
      </c>
      <c r="K8" s="23">
        <f>$T$22</f>
        <v>177.85883356778746</v>
      </c>
      <c r="L8" s="48">
        <f t="shared" si="3"/>
        <v>22.263929074505143</v>
      </c>
      <c r="M8" s="38"/>
      <c r="N8" s="13" t="s">
        <v>53</v>
      </c>
      <c r="O8" s="15">
        <f t="shared" ref="O8:AF8" si="6">IF(O7&gt;O5,O5,O7)</f>
        <v>1625.3999999999999</v>
      </c>
      <c r="P8" s="15">
        <f t="shared" si="6"/>
        <v>0</v>
      </c>
      <c r="Q8" s="15">
        <f t="shared" si="6"/>
        <v>0</v>
      </c>
      <c r="R8" s="15">
        <f t="shared" si="6"/>
        <v>0</v>
      </c>
      <c r="S8" s="15">
        <f t="shared" si="6"/>
        <v>0</v>
      </c>
      <c r="T8" s="15">
        <f t="shared" si="6"/>
        <v>0</v>
      </c>
      <c r="U8" s="15">
        <f t="shared" si="6"/>
        <v>0</v>
      </c>
      <c r="V8" s="15">
        <f t="shared" si="6"/>
        <v>0</v>
      </c>
      <c r="W8" s="15">
        <f t="shared" si="6"/>
        <v>0</v>
      </c>
      <c r="X8" s="15">
        <f t="shared" si="6"/>
        <v>0</v>
      </c>
      <c r="Y8" s="15">
        <f t="shared" si="6"/>
        <v>0</v>
      </c>
      <c r="Z8" s="15">
        <f t="shared" si="6"/>
        <v>0</v>
      </c>
      <c r="AA8" s="15">
        <f t="shared" si="6"/>
        <v>0</v>
      </c>
      <c r="AB8" s="15">
        <f t="shared" si="6"/>
        <v>0</v>
      </c>
      <c r="AC8" s="15">
        <f t="shared" si="6"/>
        <v>0</v>
      </c>
      <c r="AD8" s="15">
        <f t="shared" si="6"/>
        <v>0</v>
      </c>
      <c r="AE8" s="15">
        <f t="shared" si="6"/>
        <v>0</v>
      </c>
      <c r="AF8" s="15">
        <f t="shared" si="6"/>
        <v>0</v>
      </c>
    </row>
    <row r="9" spans="2:32" ht="14.45" customHeight="1" x14ac:dyDescent="0.45">
      <c r="B9" s="2" t="s">
        <v>54</v>
      </c>
      <c r="C9" s="11" cm="1">
        <f t="array" ref="C9">_xlfn.IFS(C7="Hybride",C4+(C5*Uitgangspunten!C39*10/Uitgangspunten!C38),C7="All electric",C4+(C5*10/Uitgangspunten!C38),C7="Geen",C4,C7="Warmtenet",C4)</f>
        <v>4000</v>
      </c>
      <c r="D9" t="s">
        <v>2</v>
      </c>
      <c r="E9" s="10"/>
      <c r="F9" s="51">
        <f t="shared" si="4"/>
        <v>2032</v>
      </c>
      <c r="G9" s="22">
        <f>$U$21</f>
        <v>1905.8199522242542</v>
      </c>
      <c r="H9" s="22">
        <f t="shared" si="1"/>
        <v>158.81832935202118</v>
      </c>
      <c r="I9" s="23">
        <f t="shared" si="2"/>
        <v>126.92589306306118</v>
      </c>
      <c r="J9" s="23">
        <f>$U$3+$U$4</f>
        <v>31.892436288960003</v>
      </c>
      <c r="K9" s="23">
        <f>$U$22</f>
        <v>182.58429766937093</v>
      </c>
      <c r="L9" s="48">
        <f t="shared" si="3"/>
        <v>23.765968317349746</v>
      </c>
      <c r="M9" s="38"/>
      <c r="N9" s="13" t="s">
        <v>55</v>
      </c>
      <c r="O9" s="15">
        <f>$C$10*Uitgangspunten!E28*(1-Uitgangspunten!E27)-O8</f>
        <v>0</v>
      </c>
      <c r="P9" s="15">
        <f>$C$10*Uitgangspunten!F28*(1-Uitgangspunten!F27)-P8</f>
        <v>1617.2729999999999</v>
      </c>
      <c r="Q9" s="15">
        <f>$C$10*Uitgangspunten!G28*(1-Uitgangspunten!G27)-Q8</f>
        <v>1609.146</v>
      </c>
      <c r="R9" s="15">
        <f>$C$10*Uitgangspunten!H28*(1-Uitgangspunten!H27)-R8</f>
        <v>1601.019</v>
      </c>
      <c r="S9" s="15">
        <f>$C$10*Uitgangspunten!I28*(1-Uitgangspunten!I27)-S8</f>
        <v>1592.8919999999998</v>
      </c>
      <c r="T9" s="15">
        <f>$C$10*Uitgangspunten!J28*(1-Uitgangspunten!J27)-T8</f>
        <v>1584.7649999999999</v>
      </c>
      <c r="U9" s="15">
        <f>$C$10*Uitgangspunten!K28*(1-Uitgangspunten!K27)-U8</f>
        <v>1576.6379999999999</v>
      </c>
      <c r="V9" s="15">
        <f>$C$10*Uitgangspunten!L28*(1-Uitgangspunten!L27)-V8</f>
        <v>1568.511</v>
      </c>
      <c r="W9" s="15">
        <f>$C$10*Uitgangspunten!M28*(1-Uitgangspunten!M27)-W8</f>
        <v>1560.3839999999998</v>
      </c>
      <c r="X9" s="15">
        <f>$C$10*Uitgangspunten!N28*(1-Uitgangspunten!N27)-X8</f>
        <v>1552.2569999999998</v>
      </c>
      <c r="Y9" s="15">
        <f>$C$10*Uitgangspunten!O28*(1-Uitgangspunten!O27)-Y8</f>
        <v>1544.1299999999999</v>
      </c>
      <c r="Z9" s="15">
        <f>$C$10*Uitgangspunten!P28*(1-Uitgangspunten!P27)-Z8</f>
        <v>1536.0029999999999</v>
      </c>
      <c r="AA9" s="15">
        <f>$C$10*Uitgangspunten!Q28*(1-Uitgangspunten!Q27)-AA8</f>
        <v>1527.8759999999997</v>
      </c>
      <c r="AB9" s="15">
        <f>$C$10*Uitgangspunten!R28*(1-Uitgangspunten!R27)-AB8</f>
        <v>1519.7489999999998</v>
      </c>
      <c r="AC9" s="15">
        <f>$C$10*Uitgangspunten!S28*(1-Uitgangspunten!S27)-AC8</f>
        <v>1511.6219999999998</v>
      </c>
      <c r="AD9" s="15">
        <f>$C$10*Uitgangspunten!T28*(1-Uitgangspunten!T27)-AD8</f>
        <v>1503.4949999999999</v>
      </c>
      <c r="AE9" s="15">
        <f>$C$10*Uitgangspunten!U28*(1-Uitgangspunten!U27)-AE8</f>
        <v>1495.3679999999997</v>
      </c>
      <c r="AF9" s="15">
        <f>$C$10*Uitgangspunten!V28*(1-Uitgangspunten!V27)-AF8</f>
        <v>1487.2409999999998</v>
      </c>
    </row>
    <row r="10" spans="2:32" ht="14.45" customHeight="1" x14ac:dyDescent="0.45">
      <c r="B10" s="2" t="s">
        <v>56</v>
      </c>
      <c r="C10" s="11">
        <f>C8*Uitgangspunten!C25*0.9</f>
        <v>2322</v>
      </c>
      <c r="D10" t="s">
        <v>2</v>
      </c>
      <c r="F10" s="51">
        <f t="shared" si="4"/>
        <v>2033</v>
      </c>
      <c r="G10" s="22">
        <f>$V$21</f>
        <v>1945.4154972672361</v>
      </c>
      <c r="H10" s="22">
        <f t="shared" si="1"/>
        <v>162.11795810560301</v>
      </c>
      <c r="I10" s="23">
        <f t="shared" si="2"/>
        <v>129.88767309086381</v>
      </c>
      <c r="J10" s="23">
        <f>$V$3+$V$4</f>
        <v>32.230285014739195</v>
      </c>
      <c r="K10" s="23">
        <f>$V$22</f>
        <v>187.43931967589288</v>
      </c>
      <c r="L10" s="48">
        <f t="shared" si="3"/>
        <v>25.321361570289866</v>
      </c>
      <c r="M10" s="38"/>
      <c r="N10" s="13" t="s">
        <v>57</v>
      </c>
      <c r="O10" s="15">
        <f>$C$10*Uitgangspunten!E28*(1-Uitgangspunten!E27)</f>
        <v>1625.3999999999999</v>
      </c>
      <c r="P10" s="15">
        <f>$C$10*Uitgangspunten!F28*(1-Uitgangspunten!F27)</f>
        <v>1617.2729999999999</v>
      </c>
      <c r="Q10" s="15">
        <f>$C$10*Uitgangspunten!G28*(1-Uitgangspunten!G27)</f>
        <v>1609.146</v>
      </c>
      <c r="R10" s="15">
        <f>$C$10*Uitgangspunten!H28*(1-Uitgangspunten!H27)</f>
        <v>1601.019</v>
      </c>
      <c r="S10" s="15">
        <f>$C$10*Uitgangspunten!I28*(1-Uitgangspunten!I27)</f>
        <v>1592.8919999999998</v>
      </c>
      <c r="T10" s="15">
        <f>$C$10*Uitgangspunten!J28*(1-Uitgangspunten!J27)</f>
        <v>1584.7649999999999</v>
      </c>
      <c r="U10" s="15">
        <f>$C$10*Uitgangspunten!K28*(1-Uitgangspunten!K27)</f>
        <v>1576.6379999999999</v>
      </c>
      <c r="V10" s="15">
        <f>$C$10*Uitgangspunten!L28*(1-Uitgangspunten!L27)</f>
        <v>1568.511</v>
      </c>
      <c r="W10" s="15">
        <f>$C$10*Uitgangspunten!M28*(1-Uitgangspunten!M27)</f>
        <v>1560.3839999999998</v>
      </c>
      <c r="X10" s="15">
        <f>$C$10*Uitgangspunten!N28*(1-Uitgangspunten!N27)</f>
        <v>1552.2569999999998</v>
      </c>
      <c r="Y10" s="15">
        <f>$C$10*Uitgangspunten!O28*(1-Uitgangspunten!O27)</f>
        <v>1544.1299999999999</v>
      </c>
      <c r="Z10" s="15">
        <f>$C$10*Uitgangspunten!P28*(1-Uitgangspunten!P27)</f>
        <v>1536.0029999999999</v>
      </c>
      <c r="AA10" s="15">
        <f>$C$10*Uitgangspunten!Q28*(1-Uitgangspunten!Q27)</f>
        <v>1527.8759999999997</v>
      </c>
      <c r="AB10" s="15">
        <f>$C$10*Uitgangspunten!R28*(1-Uitgangspunten!R27)</f>
        <v>1519.7489999999998</v>
      </c>
      <c r="AC10" s="15">
        <f>$C$10*Uitgangspunten!S28*(1-Uitgangspunten!S27)</f>
        <v>1511.6219999999998</v>
      </c>
      <c r="AD10" s="15">
        <f>$C$10*Uitgangspunten!T28*(1-Uitgangspunten!T27)</f>
        <v>1503.4949999999999</v>
      </c>
      <c r="AE10" s="15">
        <f>$C$10*Uitgangspunten!U28*(1-Uitgangspunten!U27)</f>
        <v>1495.3679999999997</v>
      </c>
      <c r="AF10" s="15">
        <f>$C$10*Uitgangspunten!V28*(1-Uitgangspunten!V27)</f>
        <v>1487.2409999999998</v>
      </c>
    </row>
    <row r="11" spans="2:32" ht="14.45" customHeight="1" x14ac:dyDescent="0.45">
      <c r="B11" s="2" t="s">
        <v>58</v>
      </c>
      <c r="C11" s="10">
        <f>C10*(1-(Uitgangspunten!C27))</f>
        <v>1625.4</v>
      </c>
      <c r="D11" t="s">
        <v>2</v>
      </c>
      <c r="F11" s="51">
        <f t="shared" si="4"/>
        <v>2034</v>
      </c>
      <c r="G11" s="22">
        <f>$W$21</f>
        <v>1985.9478562289605</v>
      </c>
      <c r="H11" s="22">
        <f t="shared" si="1"/>
        <v>165.4956546857467</v>
      </c>
      <c r="I11" s="23">
        <f t="shared" si="2"/>
        <v>132.9207639707127</v>
      </c>
      <c r="J11" s="23">
        <f>$W$3+$W$4</f>
        <v>32.574890715033987</v>
      </c>
      <c r="K11" s="23">
        <f>$W$22</f>
        <v>192.4275422041392</v>
      </c>
      <c r="L11" s="48">
        <f t="shared" si="3"/>
        <v>26.9318875183925</v>
      </c>
      <c r="M11" s="38"/>
      <c r="N11" s="13" t="s">
        <v>59</v>
      </c>
      <c r="O11" s="14">
        <f>O10*Uitgangspunten!E7</f>
        <v>216.64956599999996</v>
      </c>
      <c r="P11" s="14">
        <f>P10*Uitgangspunten!F8</f>
        <v>63.774249663599996</v>
      </c>
      <c r="Q11" s="14">
        <f>Q10*Uitgangspunten!G8</f>
        <v>64.722851568144009</v>
      </c>
      <c r="R11" s="14">
        <f>R10*Uitgangspunten!H8</f>
        <v>65.683887849004321</v>
      </c>
      <c r="S11" s="14">
        <f>S10*Uitgangspunten!I8</f>
        <v>66.657476440471783</v>
      </c>
      <c r="T11" s="14">
        <f>T10*Uitgangspunten!J8</f>
        <v>67.643735020458365</v>
      </c>
      <c r="U11" s="14">
        <f>U10*Uitgangspunten!K8</f>
        <v>68.642780953068211</v>
      </c>
      <c r="V11" s="14">
        <f>V10*Uitgangspunten!L8</f>
        <v>69.654731228974256</v>
      </c>
      <c r="W11" s="14">
        <f>W10*Uitgangspunten!M8</f>
        <v>70.67970240353533</v>
      </c>
      <c r="X11" s="14">
        <f>X10*Uitgangspunten!N8</f>
        <v>71.717810532587265</v>
      </c>
      <c r="Y11" s="14">
        <f>Y10*Uitgangspunten!O8</f>
        <v>72.76917110583986</v>
      </c>
      <c r="Z11" s="14">
        <f>Z10*Uitgangspunten!P8</f>
        <v>73.833898977809497</v>
      </c>
      <c r="AA11" s="14">
        <f>AA10*Uitgangspunten!Q8</f>
        <v>74.912108296215607</v>
      </c>
      <c r="AB11" s="14">
        <f>AB10*Uitgangspunten!R8</f>
        <v>76.003912427766821</v>
      </c>
      <c r="AC11" s="14">
        <f>AC10*Uitgangspunten!S8</f>
        <v>77.109423881261634</v>
      </c>
      <c r="AD11" s="14">
        <f>AD10*Uitgangspunten!T8</f>
        <v>78.22875422792508</v>
      </c>
      <c r="AE11" s="14">
        <f>AE10*Uitgangspunten!U8</f>
        <v>79.362014018902599</v>
      </c>
      <c r="AF11" s="14">
        <f>AF10*Uitgangspunten!V8</f>
        <v>80.509312699828044</v>
      </c>
    </row>
    <row r="12" spans="2:32" ht="14.45" customHeight="1" x14ac:dyDescent="0.45">
      <c r="B12" s="2" t="s">
        <v>60</v>
      </c>
      <c r="C12" s="10">
        <f>C9-C10</f>
        <v>1678</v>
      </c>
      <c r="D12" t="s">
        <v>2</v>
      </c>
      <c r="E12" s="10"/>
      <c r="F12" s="51">
        <f t="shared" si="4"/>
        <v>2035</v>
      </c>
      <c r="G12" s="22">
        <f>$X$21</f>
        <v>2027.4399630510977</v>
      </c>
      <c r="H12" s="22">
        <f t="shared" si="1"/>
        <v>168.95333025425813</v>
      </c>
      <c r="I12" s="23">
        <f t="shared" si="2"/>
        <v>136.02694172492346</v>
      </c>
      <c r="J12" s="23">
        <f>$X$3+$X$4</f>
        <v>32.926388529334659</v>
      </c>
      <c r="K12" s="23">
        <f>$X$22</f>
        <v>197.55271226699242</v>
      </c>
      <c r="L12" s="48">
        <f t="shared" si="3"/>
        <v>28.599382012734281</v>
      </c>
      <c r="M12" s="38"/>
      <c r="N12" s="13" t="s">
        <v>90</v>
      </c>
      <c r="O12" s="14">
        <f>O9*Uitgangspunten!E5</f>
        <v>0</v>
      </c>
      <c r="P12" s="14">
        <f>P9*Uitgangspunten!F6</f>
        <v>89.755740408599991</v>
      </c>
      <c r="Q12" s="14">
        <f>Q9*Uitgangspunten!G6</f>
        <v>91.090800667943995</v>
      </c>
      <c r="R12" s="14">
        <f>R9*Uitgangspunten!H6</f>
        <v>92.443361041498321</v>
      </c>
      <c r="S12" s="14">
        <f>S9*Uitgangspunten!I6</f>
        <v>93.813587509727626</v>
      </c>
      <c r="T12" s="14">
        <f>T9*Uitgangspunten!J6</f>
        <v>95.201645692269523</v>
      </c>
      <c r="U12" s="14">
        <f>U9*Uitgangspunten!K6</f>
        <v>96.607700767109193</v>
      </c>
      <c r="V12" s="14">
        <f>V9*Uitgangspunten!L6</f>
        <v>98.031917386665526</v>
      </c>
      <c r="W12" s="14">
        <f>W9*Uitgangspunten!M6</f>
        <v>99.474459590697279</v>
      </c>
      <c r="X12" s="14">
        <f>X9*Uitgangspunten!N6</f>
        <v>100.93549071593566</v>
      </c>
      <c r="Y12" s="14">
        <f>Y9*Uitgangspunten!O6</f>
        <v>102.4151733023473</v>
      </c>
      <c r="Z12" s="14">
        <f>Z9*Uitgangspunten!P6</f>
        <v>103.91366899592899</v>
      </c>
      <c r="AA12" s="14">
        <f>AA9*Uitgangspunten!Q6</f>
        <v>105.43113844793302</v>
      </c>
      <c r="AB12" s="14">
        <f>AB9*Uitgangspunten!R6</f>
        <v>106.96774121041886</v>
      </c>
      <c r="AC12" s="14">
        <f>AC9*Uitgangspunten!S6</f>
        <v>108.52363562802496</v>
      </c>
      <c r="AD12" s="14">
        <f>AD9*Uitgangspunten!T6</f>
        <v>110.09897872585113</v>
      </c>
      <c r="AE12" s="14">
        <f>AE9*Uitgangspunten!U6</f>
        <v>111.69392609333913</v>
      </c>
      <c r="AF12" s="14">
        <f>AF9*Uitgangspunten!V6</f>
        <v>113.30863176403632</v>
      </c>
    </row>
    <row r="13" spans="2:32" ht="14.45" customHeight="1" x14ac:dyDescent="0.45">
      <c r="B13" s="2"/>
      <c r="C13" s="10"/>
      <c r="F13" s="51">
        <f t="shared" si="4"/>
        <v>2036</v>
      </c>
      <c r="G13" s="22">
        <f>$Y$21</f>
        <v>2069.9153332955048</v>
      </c>
      <c r="H13" s="22">
        <f t="shared" si="1"/>
        <v>172.49294444129205</v>
      </c>
      <c r="I13" s="23">
        <f t="shared" si="2"/>
        <v>139.2080281413707</v>
      </c>
      <c r="J13" s="23">
        <f>$Y$3+$Y$4</f>
        <v>33.284916299921356</v>
      </c>
      <c r="K13" s="23">
        <f>$Y$22</f>
        <v>202.81868430766585</v>
      </c>
      <c r="L13" s="48">
        <f t="shared" si="3"/>
        <v>30.325739866373794</v>
      </c>
      <c r="M13" s="38"/>
      <c r="N13" s="13" t="s">
        <v>61</v>
      </c>
      <c r="O13" s="14">
        <f>(O5-O8)*Uitgangspunten!E4-O12+O11</f>
        <v>619.70516599999996</v>
      </c>
      <c r="P13" s="14">
        <f>(P5-P8)*Uitgangspunten!F4-P12+P11</f>
        <v>784.21807178699999</v>
      </c>
      <c r="Q13" s="14">
        <f>(Q5-Q8)*Uitgangspunten!G4-Q12+Q11</f>
        <v>800.90602059348009</v>
      </c>
      <c r="R13" s="14">
        <f>(R5-R8)*Uitgangspunten!H4-R12+R11</f>
        <v>817.94780012350452</v>
      </c>
      <c r="S13" s="14">
        <f>(S5-S8)*Uitgangspunten!I4-S12+S11</f>
        <v>835.35088842649247</v>
      </c>
      <c r="T13" s="14">
        <f>(T5-T8)*Uitgangspunten!J4-T12+T11</f>
        <v>853.12292114155071</v>
      </c>
      <c r="U13" s="14">
        <f>(U5-U8)*Uitgangspunten!K4-U12+U11</f>
        <v>871.27169480984026</v>
      </c>
      <c r="V13" s="14">
        <f>(V5-V8)*Uitgangspunten!L4-V12+V11</f>
        <v>889.80517025640529</v>
      </c>
      <c r="W13" s="14">
        <f>(W5-W8)*Uitgangspunten!M4-W12+W11</f>
        <v>908.73147604290875</v>
      </c>
      <c r="X13" s="14">
        <f>(X5-X8)*Uitgangspunten!N4-X12+X11</f>
        <v>928.05891199276994</v>
      </c>
      <c r="Y13" s="14">
        <f>(Y5-Y8)*Uitgangspunten!O4-Y12+Y11</f>
        <v>947.79595279020828</v>
      </c>
      <c r="Z13" s="14">
        <f>(Z5-Z8)*Uitgangspunten!P4-Z12+Z11</f>
        <v>967.95125165474724</v>
      </c>
      <c r="AA13" s="14">
        <f>(AA5-AA8)*Uitgangspunten!Q4-AA12+AA11</f>
        <v>988.53364409275127</v>
      </c>
      <c r="AB13" s="14">
        <f>(AB5-AB8)*Uitgangspunten!R4-AB12+AB11</f>
        <v>1009.552151727614</v>
      </c>
      <c r="AC13" s="14">
        <f>(AC5-AC8)*Uitgangspunten!S4-AC12+AC11</f>
        <v>1031.0159862102337</v>
      </c>
      <c r="AD13" s="14">
        <f>(AD5-AD8)*Uitgangspunten!T4-AD12+AD11</f>
        <v>1052.9345532114673</v>
      </c>
      <c r="AE13" s="14">
        <f>(AE5-AE8)*Uitgangspunten!U4-AE12+AE11</f>
        <v>1075.3174564982664</v>
      </c>
      <c r="AF13" s="14">
        <f>(AF5-AF8)*Uitgangspunten!V4-AF12+AF11</f>
        <v>1098.1745020952528</v>
      </c>
    </row>
    <row r="14" spans="2:32" ht="14.45" customHeight="1" x14ac:dyDescent="0.45">
      <c r="B14" s="2" t="str">
        <f>IF(C7="Warmtenet","Warmteverbruik","Gasverbruik")</f>
        <v>Gasverbruik</v>
      </c>
      <c r="C14" s="10" cm="1">
        <f t="array" ref="C14">_xlfn.IFS(C7="Hybride",C5*(1-Uitgangspunten!C39),C7="All electric",0,C7="Geen",C5,C7="Warmtenet",C5/31.6)</f>
        <v>300.00000000000006</v>
      </c>
      <c r="D14" t="str">
        <f>IF(C7="Warmtenet","GJ","m3")</f>
        <v>m3</v>
      </c>
      <c r="F14" s="51">
        <f t="shared" si="4"/>
        <v>2037</v>
      </c>
      <c r="G14" s="22">
        <f>$Z$21</f>
        <v>2113.3980794050985</v>
      </c>
      <c r="H14" s="22">
        <f t="shared" si="1"/>
        <v>176.11650661709155</v>
      </c>
      <c r="I14" s="23">
        <f t="shared" si="2"/>
        <v>142.46589199117176</v>
      </c>
      <c r="J14" s="23">
        <f>$Z$3+$Z$4</f>
        <v>33.650614625919779</v>
      </c>
      <c r="K14" s="23">
        <f>$Z$22</f>
        <v>208.22942332301264</v>
      </c>
      <c r="L14" s="48">
        <f t="shared" si="3"/>
        <v>32.112916705921094</v>
      </c>
      <c r="M14" s="38"/>
      <c r="N14" s="13" t="s">
        <v>62</v>
      </c>
      <c r="O14" s="14">
        <f>Uitgangspunten!E12</f>
        <v>577.94200000000001</v>
      </c>
      <c r="P14" s="14">
        <f>Uitgangspunten!F12</f>
        <v>589.50084000000004</v>
      </c>
      <c r="Q14" s="14">
        <f>Uitgangspunten!G12</f>
        <v>601.29085680000003</v>
      </c>
      <c r="R14" s="14">
        <f>Uitgangspunten!H12</f>
        <v>613.31667393600003</v>
      </c>
      <c r="S14" s="14">
        <f>Uitgangspunten!I12</f>
        <v>625.58300741471999</v>
      </c>
      <c r="T14" s="14">
        <f>Uitgangspunten!J12</f>
        <v>638.09466756301435</v>
      </c>
      <c r="U14" s="14">
        <f>Uitgangspunten!K12</f>
        <v>650.85656091427461</v>
      </c>
      <c r="V14" s="14">
        <f>Uitgangspunten!L12</f>
        <v>663.87369213256011</v>
      </c>
      <c r="W14" s="14">
        <f>Uitgangspunten!M12</f>
        <v>677.15116597521137</v>
      </c>
      <c r="X14" s="14">
        <f>Uitgangspunten!N12</f>
        <v>690.69418929471556</v>
      </c>
      <c r="Y14" s="14">
        <f>Uitgangspunten!O12</f>
        <v>704.50807308060985</v>
      </c>
      <c r="Z14" s="14">
        <f>Uitgangspunten!P12</f>
        <v>718.59823454222203</v>
      </c>
      <c r="AA14" s="14">
        <f>Uitgangspunten!Q12</f>
        <v>732.97019923306652</v>
      </c>
      <c r="AB14" s="14">
        <f>Uitgangspunten!R12</f>
        <v>747.62960321772789</v>
      </c>
      <c r="AC14" s="14">
        <f>Uitgangspunten!S12</f>
        <v>762.58219528208247</v>
      </c>
      <c r="AD14" s="14">
        <f>Uitgangspunten!T12</f>
        <v>777.83383918772415</v>
      </c>
      <c r="AE14" s="14">
        <f>Uitgangspunten!U12</f>
        <v>793.39051597147864</v>
      </c>
      <c r="AF14" s="14">
        <f>Uitgangspunten!V12</f>
        <v>809.25832629090826</v>
      </c>
    </row>
    <row r="15" spans="2:32" ht="14.45" customHeight="1" x14ac:dyDescent="0.45">
      <c r="B15" s="2"/>
      <c r="C15" s="10"/>
      <c r="F15" s="51">
        <f t="shared" si="4"/>
        <v>2038</v>
      </c>
      <c r="G15" s="22">
        <f>$AA$21</f>
        <v>2157.9129263776094</v>
      </c>
      <c r="H15" s="22">
        <f t="shared" si="1"/>
        <v>179.82607719813413</v>
      </c>
      <c r="I15" s="23">
        <f t="shared" si="2"/>
        <v>145.80245027969596</v>
      </c>
      <c r="J15" s="23">
        <f>$AA$3+$AA$4</f>
        <v>34.023626918438183</v>
      </c>
      <c r="K15" s="23">
        <f>$AA$22</f>
        <v>213.78900807854225</v>
      </c>
      <c r="L15" s="48">
        <f t="shared" si="3"/>
        <v>33.962930880408123</v>
      </c>
      <c r="M15" s="38"/>
      <c r="N15" s="13" t="s">
        <v>63</v>
      </c>
      <c r="O15" s="14">
        <f>IF($C$7="Warmtenet",0,$C$14*Uitgangspunten!E10)</f>
        <v>362.79900000000009</v>
      </c>
      <c r="P15" s="14">
        <f>IF($C$7="Warmtenet",0,$C$14*Uitgangspunten!F10)</f>
        <v>373.68297000000007</v>
      </c>
      <c r="Q15" s="14">
        <f>IF($C$7="Warmtenet",0,$C$14*Uitgangspunten!G10)</f>
        <v>384.89345910000009</v>
      </c>
      <c r="R15" s="14">
        <f>IF($C$7="Warmtenet",0,$C$14*Uitgangspunten!H10)</f>
        <v>396.44026287300005</v>
      </c>
      <c r="S15" s="14">
        <f>IF($C$7="Warmtenet",0,$C$14*Uitgangspunten!I10)</f>
        <v>408.33347075919011</v>
      </c>
      <c r="T15" s="14">
        <f>IF($C$7="Warmtenet",0,$C$14*Uitgangspunten!J10)</f>
        <v>420.5834748819658</v>
      </c>
      <c r="U15" s="14">
        <f>IF($C$7="Warmtenet",0,$C$14*Uitgangspunten!K10)</f>
        <v>433.20097912842482</v>
      </c>
      <c r="V15" s="14">
        <f>IF($C$7="Warmtenet",0,$C$14*Uitgangspunten!L10)</f>
        <v>446.19700850227758</v>
      </c>
      <c r="W15" s="14">
        <f>IF($C$7="Warmtenet",0,$C$14*Uitgangspunten!M10)</f>
        <v>459.58291875734591</v>
      </c>
      <c r="X15" s="14">
        <f>IF($C$7="Warmtenet",0,$C$14*Uitgangspunten!N10)</f>
        <v>473.37040632006631</v>
      </c>
      <c r="Y15" s="14">
        <f>IF($C$7="Warmtenet",0,$C$14*Uitgangspunten!O10)</f>
        <v>487.57151850966829</v>
      </c>
      <c r="Z15" s="14">
        <f>IF($C$7="Warmtenet",0,$C$14*Uitgangspunten!P10)</f>
        <v>502.19866406495834</v>
      </c>
      <c r="AA15" s="14">
        <f>IF($C$7="Warmtenet",0,$C$14*Uitgangspunten!Q10)</f>
        <v>517.26462398690717</v>
      </c>
      <c r="AB15" s="14">
        <f>IF($C$7="Warmtenet",0,$C$14*Uitgangspunten!R10)</f>
        <v>532.78256270651434</v>
      </c>
      <c r="AC15" s="14">
        <f>IF($C$7="Warmtenet",0,$C$14*Uitgangspunten!S10)</f>
        <v>548.76603958770988</v>
      </c>
      <c r="AD15" s="14">
        <f>IF($C$7="Warmtenet",0,$C$14*Uitgangspunten!T10)</f>
        <v>565.22902077534116</v>
      </c>
      <c r="AE15" s="14">
        <f>IF($C$7="Warmtenet",0,$C$14*Uitgangspunten!U10)</f>
        <v>582.18589139860137</v>
      </c>
      <c r="AF15" s="14">
        <f>IF($C$7="Warmtenet",0,$C$14*Uitgangspunten!V10)</f>
        <v>599.65146814055936</v>
      </c>
    </row>
    <row r="16" spans="2:32" ht="14.45" customHeight="1" x14ac:dyDescent="0.45">
      <c r="B16" s="2" t="s">
        <v>30</v>
      </c>
      <c r="F16" s="51">
        <f t="shared" si="4"/>
        <v>2039</v>
      </c>
      <c r="G16" s="22">
        <f>$AB$21</f>
        <v>2203.4852278636654</v>
      </c>
      <c r="H16" s="22">
        <f t="shared" si="1"/>
        <v>183.62376898863877</v>
      </c>
      <c r="I16" s="23">
        <f t="shared" si="2"/>
        <v>149.21966953183181</v>
      </c>
      <c r="J16" s="23">
        <f>$AB$3+$AB$4</f>
        <v>34.404099456806946</v>
      </c>
      <c r="K16" s="23">
        <f>$AB$22</f>
        <v>219.50163441785449</v>
      </c>
      <c r="L16" s="48">
        <f t="shared" si="3"/>
        <v>35.877865429215717</v>
      </c>
      <c r="M16" s="38"/>
      <c r="N16" s="13" t="s">
        <v>64</v>
      </c>
      <c r="O16" s="14">
        <f>IF($C$7="Warmtenet",$C$14*Uitgangspunten!E11,0)</f>
        <v>0</v>
      </c>
      <c r="P16" s="14">
        <f>IF($C$7="Warmtenet",$C$14*Uitgangspunten!F11,0)</f>
        <v>0</v>
      </c>
      <c r="Q16" s="14">
        <f>IF($C$7="Warmtenet",$C$14*Uitgangspunten!G11,0)</f>
        <v>0</v>
      </c>
      <c r="R16" s="14">
        <f>IF($C$7="Warmtenet",$C$14*Uitgangspunten!H11,0)</f>
        <v>0</v>
      </c>
      <c r="S16" s="14">
        <f>IF($C$7="Warmtenet",$C$14*Uitgangspunten!I11,0)</f>
        <v>0</v>
      </c>
      <c r="T16" s="14">
        <f>IF($C$7="Warmtenet",$C$14*Uitgangspunten!J11,0)</f>
        <v>0</v>
      </c>
      <c r="U16" s="14">
        <f>IF($C$7="Warmtenet",$C$14*Uitgangspunten!K11,0)</f>
        <v>0</v>
      </c>
      <c r="V16" s="14">
        <f>IF($C$7="Warmtenet",$C$14*Uitgangspunten!L11,0)</f>
        <v>0</v>
      </c>
      <c r="W16" s="14">
        <f>IF($C$7="Warmtenet",$C$14*Uitgangspunten!M11,0)</f>
        <v>0</v>
      </c>
      <c r="X16" s="14">
        <f>IF($C$7="Warmtenet",$C$14*Uitgangspunten!N11,0)</f>
        <v>0</v>
      </c>
      <c r="Y16" s="14">
        <f>IF($C$7="Warmtenet",$C$14*Uitgangspunten!O11,0)</f>
        <v>0</v>
      </c>
      <c r="Z16" s="14">
        <f>IF($C$7="Warmtenet",$C$14*Uitgangspunten!P11,0)</f>
        <v>0</v>
      </c>
      <c r="AA16" s="14">
        <f>IF($C$7="Warmtenet",$C$14*Uitgangspunten!Q11,0)</f>
        <v>0</v>
      </c>
      <c r="AB16" s="14">
        <f>IF($C$7="Warmtenet",$C$14*Uitgangspunten!R11,0)</f>
        <v>0</v>
      </c>
      <c r="AC16" s="14">
        <f>IF($C$7="Warmtenet",$C$14*Uitgangspunten!S11,0)</f>
        <v>0</v>
      </c>
      <c r="AD16" s="14">
        <f>IF($C$7="Warmtenet",$C$14*Uitgangspunten!T11,0)</f>
        <v>0</v>
      </c>
      <c r="AE16" s="14">
        <f>IF($C$7="Warmtenet",$C$14*Uitgangspunten!U11,0)</f>
        <v>0</v>
      </c>
      <c r="AF16" s="14">
        <f>IF($C$7="Warmtenet",$C$14*Uitgangspunten!V11,0)</f>
        <v>0</v>
      </c>
    </row>
    <row r="17" spans="2:32" ht="14.45" customHeight="1" x14ac:dyDescent="0.45">
      <c r="B17" s="4" t="str">
        <f>IF(C7="Warmtenet","Warmtenet","Warmtepomp")</f>
        <v>Warmtepomp</v>
      </c>
      <c r="C17" s="46" cm="1">
        <f t="array" ref="C17">_xlfn.IFS(C7="Geen",0,C7="Hybride",Uitgangspunten!C31,C7="All electric",Uitgangspunten!C32,C7="Warmtenet",Uitgangspunten!C33)</f>
        <v>15</v>
      </c>
      <c r="D17" s="10"/>
      <c r="F17" s="51">
        <f t="shared" si="4"/>
        <v>2040</v>
      </c>
      <c r="G17" s="22">
        <f>$AC$21</f>
        <v>2250.1409827010102</v>
      </c>
      <c r="H17" s="22">
        <f t="shared" si="1"/>
        <v>187.51174855841751</v>
      </c>
      <c r="I17" s="23">
        <f t="shared" si="2"/>
        <v>152.71956711247441</v>
      </c>
      <c r="J17" s="23">
        <f>$AC$3+$AC$4</f>
        <v>34.792181445943086</v>
      </c>
      <c r="K17" s="23">
        <f>$AC$22</f>
        <v>225.37161866928525</v>
      </c>
      <c r="L17" s="48">
        <f t="shared" si="3"/>
        <v>37.859870110867746</v>
      </c>
      <c r="M17" s="38"/>
      <c r="N17" s="13" t="s">
        <v>65</v>
      </c>
      <c r="O17" s="14" cm="1">
        <f t="array" ref="O17">(_xlfn.IFS($C$7="All electric",0,$C$14&lt;500,190.4395,$C$14&gt;499,266.6241))*(1+(Uitgangspunten!$C$21))^(Scenario!O2-$O$2)</f>
        <v>190.43950000000001</v>
      </c>
      <c r="P17" s="14" cm="1">
        <f t="array" ref="P17">(_xlfn.IFS($C$7="All electric",0,$C$14&lt;500,190.4395,$C$14&gt;499,266.6241))*(1+(Uitgangspunten!$C$21))^(Scenario!P2-$O$2)</f>
        <v>194.24829000000003</v>
      </c>
      <c r="Q17" s="14" cm="1">
        <f t="array" ref="Q17">(_xlfn.IFS($C$7="All electric",0,$C$14&lt;500,190.4395,$C$14&gt;499,266.6241))*(1+(Uitgangspunten!$C$21))^(Scenario!Q2-$O$2)</f>
        <v>198.1332558</v>
      </c>
      <c r="R17" s="14" cm="1">
        <f t="array" ref="R17">(_xlfn.IFS($C$7="All electric",0,$C$14&lt;500,190.4395,$C$14&gt;499,266.6241))*(1+(Uitgangspunten!$C$21))^(Scenario!R2-$O$2)</f>
        <v>202.09592091599998</v>
      </c>
      <c r="S17" s="14" cm="1">
        <f t="array" ref="S17">(_xlfn.IFS($C$7="All electric",0,$C$14&lt;500,190.4395,$C$14&gt;499,266.6241))*(1+(Uitgangspunten!$C$21))^(Scenario!S2-$O$2)</f>
        <v>206.13783933432001</v>
      </c>
      <c r="T17" s="14" cm="1">
        <f t="array" ref="T17">(_xlfn.IFS($C$7="All electric",0,$C$14&lt;500,190.4395,$C$14&gt;499,266.6241))*(1+(Uitgangspunten!$C$21))^(Scenario!T2-$O$2)</f>
        <v>210.26059612100642</v>
      </c>
      <c r="U17" s="14" cm="1">
        <f t="array" ref="U17">(_xlfn.IFS($C$7="All electric",0,$C$14&lt;500,190.4395,$C$14&gt;499,266.6241))*(1+(Uitgangspunten!$C$21))^(Scenario!U2-$O$2)</f>
        <v>214.46580804342656</v>
      </c>
      <c r="V17" s="14" cm="1">
        <f t="array" ref="V17">(_xlfn.IFS($C$7="All electric",0,$C$14&lt;500,190.4395,$C$14&gt;499,266.6241))*(1+(Uitgangspunten!$C$21))^(Scenario!V2-$O$2)</f>
        <v>218.75512420429504</v>
      </c>
      <c r="W17" s="14" cm="1">
        <f t="array" ref="W17">(_xlfn.IFS($C$7="All electric",0,$C$14&lt;500,190.4395,$C$14&gt;499,266.6241))*(1+(Uitgangspunten!$C$21))^(Scenario!W2-$O$2)</f>
        <v>223.13022668838096</v>
      </c>
      <c r="X17" s="14" cm="1">
        <f t="array" ref="X17">(_xlfn.IFS($C$7="All electric",0,$C$14&lt;500,190.4395,$C$14&gt;499,266.6241))*(1+(Uitgangspunten!$C$21))^(Scenario!X2-$O$2)</f>
        <v>227.59283122214859</v>
      </c>
      <c r="Y17" s="14" cm="1">
        <f t="array" ref="Y17">(_xlfn.IFS($C$7="All electric",0,$C$14&lt;500,190.4395,$C$14&gt;499,266.6241))*(1+(Uitgangspunten!$C$21))^(Scenario!Y2-$O$2)</f>
        <v>232.14468784659155</v>
      </c>
      <c r="Z17" s="14" cm="1">
        <f t="array" ref="Z17">(_xlfn.IFS($C$7="All electric",0,$C$14&lt;500,190.4395,$C$14&gt;499,266.6241))*(1+(Uitgangspunten!$C$21))^(Scenario!Z2-$O$2)</f>
        <v>236.78758160352334</v>
      </c>
      <c r="AA17" s="14" cm="1">
        <f t="array" ref="AA17">(_xlfn.IFS($C$7="All electric",0,$C$14&lt;500,190.4395,$C$14&gt;499,266.6241))*(1+(Uitgangspunten!$C$21))^(Scenario!AA2-$O$2)</f>
        <v>241.52333323559384</v>
      </c>
      <c r="AB17" s="14" cm="1">
        <f t="array" ref="AB17">(_xlfn.IFS($C$7="All electric",0,$C$14&lt;500,190.4395,$C$14&gt;499,266.6241))*(1+(Uitgangspunten!$C$21))^(Scenario!AB2-$O$2)</f>
        <v>246.35379990030572</v>
      </c>
      <c r="AC17" s="14" cm="1">
        <f t="array" ref="AC17">(_xlfn.IFS($C$7="All electric",0,$C$14&lt;500,190.4395,$C$14&gt;499,266.6241))*(1+(Uitgangspunten!$C$21))^(Scenario!AC2-$O$2)</f>
        <v>251.28087589831185</v>
      </c>
      <c r="AD17" s="14" cm="1">
        <f t="array" ref="AD17">(_xlfn.IFS($C$7="All electric",0,$C$14&lt;500,190.4395,$C$14&gt;499,266.6241))*(1+(Uitgangspunten!$C$21))^(Scenario!AD2-$O$2)</f>
        <v>256.30649341627804</v>
      </c>
      <c r="AE17" s="14" cm="1">
        <f t="array" ref="AE17">(_xlfn.IFS($C$7="All electric",0,$C$14&lt;500,190.4395,$C$14&gt;499,266.6241))*(1+(Uitgangspunten!$C$21))^(Scenario!AE2-$O$2)</f>
        <v>261.43262328460361</v>
      </c>
      <c r="AF17" s="14" cm="1">
        <f t="array" ref="AF17">(_xlfn.IFS($C$7="All electric",0,$C$14&lt;500,190.4395,$C$14&gt;499,266.6241))*(1+(Uitgangspunten!$C$21))^(Scenario!AF2-$O$2)</f>
        <v>266.66127575029572</v>
      </c>
    </row>
    <row r="18" spans="2:32" ht="14.45" customHeight="1" x14ac:dyDescent="0.45">
      <c r="B18" s="4" t="s">
        <v>23</v>
      </c>
      <c r="C18" s="5">
        <f>C8*Uitgangspunten!C34</f>
        <v>15</v>
      </c>
      <c r="F18" s="51">
        <f t="shared" si="4"/>
        <v>2041</v>
      </c>
      <c r="G18" s="22">
        <f>$AD$21</f>
        <v>2297.9068518969748</v>
      </c>
      <c r="H18" s="22">
        <f t="shared" si="1"/>
        <v>191.49223765808122</v>
      </c>
      <c r="I18" s="23">
        <f t="shared" si="2"/>
        <v>156.30421258321928</v>
      </c>
      <c r="J18" s="23">
        <f>$AD$3+$AD$4</f>
        <v>35.18802507486194</v>
      </c>
      <c r="K18" s="23">
        <f>$AD$22</f>
        <v>231.4034011526368</v>
      </c>
      <c r="L18" s="48">
        <f t="shared" si="3"/>
        <v>39.911163494555581</v>
      </c>
      <c r="M18" s="38"/>
      <c r="N18" s="13" t="s">
        <v>66</v>
      </c>
      <c r="O18" s="14">
        <f>Uitgangspunten!E16</f>
        <v>795.88</v>
      </c>
      <c r="P18" s="14">
        <f>Uitgangspunten!F16</f>
        <v>811.79759999999999</v>
      </c>
      <c r="Q18" s="14">
        <f>Uitgangspunten!G16</f>
        <v>828.03355199999999</v>
      </c>
      <c r="R18" s="14">
        <f>Uitgangspunten!H16</f>
        <v>844.59422303999997</v>
      </c>
      <c r="S18" s="14">
        <f>Uitgangspunten!I16</f>
        <v>861.48610750080002</v>
      </c>
      <c r="T18" s="14">
        <f>Uitgangspunten!J16</f>
        <v>878.71582965081598</v>
      </c>
      <c r="U18" s="14">
        <f>Uitgangspunten!K16</f>
        <v>896.29014624383228</v>
      </c>
      <c r="V18" s="14">
        <f>Uitgangspunten!L16</f>
        <v>914.2159491687089</v>
      </c>
      <c r="W18" s="14">
        <f>Uitgangspunten!M16</f>
        <v>932.50026815208309</v>
      </c>
      <c r="X18" s="14">
        <f>Uitgangspunten!N16</f>
        <v>951.15027351512481</v>
      </c>
      <c r="Y18" s="14">
        <f>Uitgangspunten!O16</f>
        <v>970.17327898542737</v>
      </c>
      <c r="Z18" s="14">
        <f>Uitgangspunten!P16</f>
        <v>989.57674456513598</v>
      </c>
      <c r="AA18" s="14">
        <f>Uitgangspunten!Q16</f>
        <v>1009.3682794564387</v>
      </c>
      <c r="AB18" s="14">
        <f>Uitgangspunten!R16</f>
        <v>1029.5556450455674</v>
      </c>
      <c r="AC18" s="14">
        <f>Uitgangspunten!S16</f>
        <v>1050.1467579464788</v>
      </c>
      <c r="AD18" s="14">
        <f>Uitgangspunten!T16</f>
        <v>1071.1496931054085</v>
      </c>
      <c r="AE18" s="14">
        <f>Uitgangspunten!U16</f>
        <v>1092.5726869675166</v>
      </c>
      <c r="AF18" s="14">
        <f>Uitgangspunten!V16</f>
        <v>1114.4241407068669</v>
      </c>
    </row>
    <row r="19" spans="2:32" ht="14.45" customHeight="1" x14ac:dyDescent="0.45">
      <c r="B19" s="4"/>
      <c r="F19" s="51">
        <f t="shared" si="4"/>
        <v>2042</v>
      </c>
      <c r="G19" s="22">
        <f>$AE$21</f>
        <v>2346.8101760716572</v>
      </c>
      <c r="H19" s="22">
        <f t="shared" si="1"/>
        <v>195.56751467263811</v>
      </c>
      <c r="I19" s="23">
        <f t="shared" si="2"/>
        <v>159.97572909627894</v>
      </c>
      <c r="J19" s="23">
        <f>$AE$3+$AE$4</f>
        <v>35.591785576359179</v>
      </c>
      <c r="K19" s="23">
        <f>$AE$22</f>
        <v>237.60154978895443</v>
      </c>
      <c r="L19" s="48">
        <f t="shared" si="3"/>
        <v>42.034035116316318</v>
      </c>
      <c r="M19" s="38"/>
      <c r="N19" s="13" t="s">
        <v>67</v>
      </c>
      <c r="O19" s="14">
        <f>Uitgangspunten!E17</f>
        <v>-635.19000000000005</v>
      </c>
      <c r="P19" s="14">
        <f>Uitgangspunten!F17</f>
        <v>-647.89380000000006</v>
      </c>
      <c r="Q19" s="14">
        <f>Uitgangspunten!G17</f>
        <v>-660.85167600000011</v>
      </c>
      <c r="R19" s="14">
        <f>Uitgangspunten!H17</f>
        <v>-674.06870952000008</v>
      </c>
      <c r="S19" s="14">
        <f>Uitgangspunten!I17</f>
        <v>-687.55008371040014</v>
      </c>
      <c r="T19" s="14">
        <f>Uitgangspunten!J17</f>
        <v>-701.3010853846082</v>
      </c>
      <c r="U19" s="14">
        <f>Uitgangspunten!K17</f>
        <v>-715.32710709230037</v>
      </c>
      <c r="V19" s="14">
        <f>Uitgangspunten!L17</f>
        <v>-729.63364923414633</v>
      </c>
      <c r="W19" s="14">
        <f>Uitgangspunten!M17</f>
        <v>-744.2263222188293</v>
      </c>
      <c r="X19" s="14">
        <f>Uitgangspunten!N17</f>
        <v>-759.11084866320584</v>
      </c>
      <c r="Y19" s="14">
        <f>Uitgangspunten!O17</f>
        <v>-774.29306563646992</v>
      </c>
      <c r="Z19" s="14">
        <f>Uitgangspunten!P17</f>
        <v>-789.77892694919933</v>
      </c>
      <c r="AA19" s="14">
        <f>Uitgangspunten!Q17</f>
        <v>-805.57450548818338</v>
      </c>
      <c r="AB19" s="14">
        <f>Uitgangspunten!R17</f>
        <v>-821.68599559794711</v>
      </c>
      <c r="AC19" s="14">
        <f>Uitgangspunten!S17</f>
        <v>-838.11971550990609</v>
      </c>
      <c r="AD19" s="14">
        <f>Uitgangspunten!T17</f>
        <v>-854.88210982010423</v>
      </c>
      <c r="AE19" s="14">
        <f>Uitgangspunten!U17</f>
        <v>-871.97975201650638</v>
      </c>
      <c r="AF19" s="14">
        <f>Uitgangspunten!V17</f>
        <v>-889.4193470568365</v>
      </c>
    </row>
    <row r="20" spans="2:32" ht="14.45" customHeight="1" thickBot="1" x14ac:dyDescent="0.5">
      <c r="F20" s="52">
        <f t="shared" si="4"/>
        <v>2043</v>
      </c>
      <c r="G20" s="24">
        <f>$AF$21</f>
        <v>2396.8789933746439</v>
      </c>
      <c r="H20" s="24">
        <f t="shared" si="1"/>
        <v>199.73991611455367</v>
      </c>
      <c r="I20" s="25">
        <f t="shared" si="2"/>
        <v>163.73629482666729</v>
      </c>
      <c r="J20" s="25">
        <f>$AF$3+$AF$4</f>
        <v>36.003621287886361</v>
      </c>
      <c r="K20" s="25">
        <f>$AF$22</f>
        <v>243.97076381639633</v>
      </c>
      <c r="L20" s="49">
        <f t="shared" si="3"/>
        <v>44.230847701842663</v>
      </c>
      <c r="M20" s="38"/>
      <c r="N20" s="13" t="s">
        <v>68</v>
      </c>
      <c r="O20" s="26" cm="1">
        <f t="array" ref="O20">_xlfn.IFS($C$5&lt;500,169.95,$C$5&gt;499,240.17)</f>
        <v>240.17</v>
      </c>
      <c r="P20" s="13">
        <f>O20*(1+Uitgangspunten!$C$21)</f>
        <v>244.9734</v>
      </c>
      <c r="Q20" s="13">
        <f>P20*(1+Uitgangspunten!$C$21)</f>
        <v>249.87286800000001</v>
      </c>
      <c r="R20" s="13">
        <f>Q20*(1+Uitgangspunten!$C$21)</f>
        <v>254.87032536000001</v>
      </c>
      <c r="S20" s="13">
        <f>R20*(1+Uitgangspunten!$C$21)</f>
        <v>259.96773186720003</v>
      </c>
      <c r="T20" s="13">
        <f>S20*(1+Uitgangspunten!$C$21)</f>
        <v>265.16708650454405</v>
      </c>
      <c r="U20" s="13">
        <f>T20*(1+Uitgangspunten!$C$21)</f>
        <v>270.47042823463494</v>
      </c>
      <c r="V20" s="13">
        <f>U20*(1+Uitgangspunten!$C$21)</f>
        <v>275.87983679932762</v>
      </c>
      <c r="W20" s="13">
        <f>V20*(1+Uitgangspunten!$C$21)</f>
        <v>281.39743353531418</v>
      </c>
      <c r="X20" s="13">
        <f>W20*(1+Uitgangspunten!$C$21)</f>
        <v>287.02538220602048</v>
      </c>
      <c r="Y20" s="13">
        <f>X20*(1+Uitgangspunten!$C$21)</f>
        <v>292.76588985014092</v>
      </c>
      <c r="Z20" s="13">
        <f>Y20*(1+Uitgangspunten!$C$21)</f>
        <v>298.62120764714376</v>
      </c>
      <c r="AA20" s="13">
        <f>Z20*(1+Uitgangspunten!$C$21)</f>
        <v>304.59363180008665</v>
      </c>
      <c r="AB20" s="13">
        <f>AA20*(1+Uitgangspunten!$C$21)</f>
        <v>310.68550443608837</v>
      </c>
      <c r="AC20" s="13">
        <f>AB20*(1+Uitgangspunten!$C$21)</f>
        <v>316.89921452481013</v>
      </c>
      <c r="AD20" s="13">
        <f>AC20*(1+Uitgangspunten!$C$21)</f>
        <v>323.23719881530633</v>
      </c>
      <c r="AE20" s="13">
        <f>AD20*(1+Uitgangspunten!$C$21)</f>
        <v>329.70194279161245</v>
      </c>
      <c r="AF20" s="13">
        <f>AE20*(1+Uitgangspunten!$C$21)</f>
        <v>336.29598164744471</v>
      </c>
    </row>
    <row r="21" spans="2:32" ht="14.45" customHeight="1" x14ac:dyDescent="0.45">
      <c r="N21" s="13" t="s">
        <v>40</v>
      </c>
      <c r="O21" s="13">
        <f>IF($C$7="Warmtenet",O4*12+Uitgangspunten!E9*12+O13+O14+O16+O18+O19,O3*12+O4*12+Uitgangspunten!E9*12+O13+O14+O15+Uitgangspunten!E15+O19)</f>
        <v>1692.3452319999997</v>
      </c>
      <c r="P21" s="13">
        <f>IF($C$7="Warmtenet",P3*12+P4*12+Uitgangspunten!F9*12+P13+P14+P16+P18+P19,P3*12+P4*12+Uitgangspunten!F9*12+P13+P14+P15+Uitgangspunten!F15+P19)</f>
        <v>1721.1306214506005</v>
      </c>
      <c r="Q21" s="13">
        <f>IF($C$7="Warmtenet",Q3*12+Q4*12+Uitgangspunten!G9*12+Q13+Q14+Q16+Q18+Q19,Q3*12+Q4*12+Uitgangspunten!G9*12+Q13+Q14+Q15+Uitgangspunten!G15+Q19)</f>
        <v>1756.3667678616239</v>
      </c>
      <c r="R21" s="13">
        <f>IF($C$7="Warmtenet",R3*12+R4*12+Uitgangspunten!H9*12+R13+R14+R16+R18+R19,R3*12+R4*12+Uitgangspunten!H9*12+R13+R14+R15+Uitgangspunten!H15+R19)</f>
        <v>1792.4332761775086</v>
      </c>
      <c r="S21" s="13">
        <f>IF($C$7="Warmtenet",S3*12+S4*12+Uitgangspunten!I9*12+S13+S14+S16+S18+S19,S3*12+S4*12+Uitgangspunten!I9*12+S13+S14+S15+Uitgangspunten!I15+S19)</f>
        <v>1829.3503874647945</v>
      </c>
      <c r="T21" s="13">
        <f>IF($C$7="Warmtenet",T3*12+T4*12+Uitgangspunten!J9*12+T13+T14+T16+T18+T19,T3*12+T4*12+Uitgangspunten!J9*12+T13+T14+T15+Uitgangspunten!J15+T19)</f>
        <v>1867.1388539193877</v>
      </c>
      <c r="U21" s="13">
        <f>IF($C$7="Warmtenet",U3*12+U4*12+Uitgangspunten!K9*12+U13+U14+U16+U18+U19,U3*12+U4*12+Uitgangspunten!K9*12+U13+U14+U15+Uitgangspunten!K15+U19)</f>
        <v>1905.8199522242542</v>
      </c>
      <c r="V21" s="13">
        <f>IF($C$7="Warmtenet",V3*12+V4*12+Uitgangspunten!L9*12+V13+V14+V16+V18+V19,V3*12+V4*12+Uitgangspunten!L9*12+V13+V14+V15+Uitgangspunten!L15+V19)</f>
        <v>1945.4154972672361</v>
      </c>
      <c r="W21" s="13">
        <f>IF($C$7="Warmtenet",W3*12+W4*12+Uitgangspunten!M9*12+W13+W14+W16+W18+W19,W3*12+W4*12+Uitgangspunten!M9*12+W13+W14+W15+Uitgangspunten!M15+W19)</f>
        <v>1985.9478562289605</v>
      </c>
      <c r="X21" s="13">
        <f>IF($C$7="Warmtenet",X3*12+X4*12+Uitgangspunten!N9*12+X13+X14+X16+X18+X19,X3*12+X4*12+Uitgangspunten!N9*12+X13+X14+X15+Uitgangspunten!N15+X19)</f>
        <v>2027.4399630510977</v>
      </c>
      <c r="Y21" s="13">
        <f>IF($C$7="Warmtenet",Y3*12+Y4*12+Uitgangspunten!O9*12+Y13+Y14+Y16+Y18+Y19,Y3*12+Y4*12+Uitgangspunten!O9*12+Y13+Y14+Y15+Uitgangspunten!O15+Y19)</f>
        <v>2069.9153332955048</v>
      </c>
      <c r="Z21" s="13">
        <f>IF($C$7="Warmtenet",Z3*12+Z4*12+Uitgangspunten!P9*12+Z13+Z14+Z16+Z18+Z19,Z3*12+Z4*12+Uitgangspunten!P9*12+Z13+Z14+Z15+Uitgangspunten!P15+Z19)</f>
        <v>2113.3980794050985</v>
      </c>
      <c r="AA21" s="13">
        <f>IF($C$7="Warmtenet",AA3*12+AA4*12+Uitgangspunten!Q9*12+AA13+AA14+AA16+AA18+AA19,AA3*12+AA4*12+Uitgangspunten!Q9*12+AA13+AA14+AA15+Uitgangspunten!Q15+AA19)</f>
        <v>2157.9129263776094</v>
      </c>
      <c r="AB21" s="13">
        <f>IF($C$7="Warmtenet",AB3*12+AB4*12+Uitgangspunten!R9*12+AB13+AB14+AB16+AB18+AB19,AB3*12+AB4*12+Uitgangspunten!R9*12+AB13+AB14+AB15+Uitgangspunten!R15+AB19)</f>
        <v>2203.4852278636654</v>
      </c>
      <c r="AC21" s="13">
        <f>IF($C$7="Warmtenet",AC3*12+AC4*12+Uitgangspunten!S9*12+AC13+AC14+AC16+AC18+AC19,AC3*12+AC4*12+Uitgangspunten!S9*12+AC13+AC14+AC15+Uitgangspunten!S15+AC19)</f>
        <v>2250.1409827010102</v>
      </c>
      <c r="AD21" s="13">
        <f>IF($C$7="Warmtenet",AD3*12+AD4*12+Uitgangspunten!T9*12+AD13+AD14+AD16+AD18+AD19,AD3*12+AD4*12+Uitgangspunten!T9*12+AD13+AD14+AD15+Uitgangspunten!T15+AD19)</f>
        <v>2297.9068518969748</v>
      </c>
      <c r="AE21" s="13">
        <f>IF($C$7="Warmtenet",AE3*12+AE4*12+Uitgangspunten!U9*12+AE13+AE14+AE16+AE18+AE19,AE3*12+AE4*12+Uitgangspunten!U9*12+AE13+AE14+AE15+Uitgangspunten!U15+AE19)</f>
        <v>2346.8101760716572</v>
      </c>
      <c r="AF21" s="13">
        <f>IF($C$7="Warmtenet",AF3*12+AF4*12+Uitgangspunten!V9*12+AF13+AF14+AF16+AF18+AF19,AF3*12+AF4*12+Uitgangspunten!V9*12+AF13+AF14+AF15+Uitgangspunten!V15+AF19)</f>
        <v>2396.8789933746439</v>
      </c>
    </row>
    <row r="22" spans="2:32" ht="14.45" customHeight="1" x14ac:dyDescent="0.45">
      <c r="I22" s="5"/>
      <c r="N22" s="13" t="s">
        <v>69</v>
      </c>
      <c r="O22" s="26">
        <f>($C$4*Uitgangspunten!E4+Scenario!$C$5*Uitgangspunten!E10+Uitgangspunten!E12+Scenario!O20+O19)/12</f>
        <v>156.05433333333335</v>
      </c>
      <c r="P22" s="26">
        <f>($C$4*Uitgangspunten!F4+Scenario!$C$5*Uitgangspunten!F10+Uitgangspunten!F12+Scenario!P20+P19)/12</f>
        <v>160.18319500000001</v>
      </c>
      <c r="Q22" s="26">
        <f>($C$4*Uitgangspunten!G4+Scenario!$C$5*Uitgangspunten!G10+Uitgangspunten!G12+Scenario!Q20+Q19)/12</f>
        <v>164.42486714999998</v>
      </c>
      <c r="R22" s="26">
        <f>($C$4*Uitgangspunten!H4+Scenario!$C$5*Uitgangspunten!H10+Uitgangspunten!H12+Scenario!R20+R19)/12</f>
        <v>168.78251299050001</v>
      </c>
      <c r="S22" s="26">
        <f>($C$4*Uitgangspunten!I4+Scenario!$C$5*Uitgangspunten!I10+Uitgangspunten!I12+Scenario!S20+S19)/12</f>
        <v>173.25938620273504</v>
      </c>
      <c r="T22" s="26">
        <f>($C$4*Uitgangspunten!J4+Scenario!$C$5*Uitgangspunten!J10+Uitgangspunten!J12+Scenario!T20+T19)/12</f>
        <v>177.85883356778746</v>
      </c>
      <c r="U22" s="26">
        <f>($C$4*Uitgangspunten!K4+Scenario!$C$5*Uitgangspunten!K10+Uitgangspunten!K12+Scenario!U20+U19)/12</f>
        <v>182.58429766937093</v>
      </c>
      <c r="V22" s="26">
        <f>($C$4*Uitgangspunten!L4+Scenario!$C$5*Uitgangspunten!L10+Uitgangspunten!L12+Scenario!V20+V19)/12</f>
        <v>187.43931967589288</v>
      </c>
      <c r="W22" s="26">
        <f>($C$4*Uitgangspunten!M4+Scenario!$C$5*Uitgangspunten!M10+Uitgangspunten!M12+Scenario!W20+W19)/12</f>
        <v>192.4275422041392</v>
      </c>
      <c r="X22" s="26">
        <f>($C$4*Uitgangspunten!N4+Scenario!$C$5*Uitgangspunten!N10+Uitgangspunten!N12+Scenario!X20+X19)/12</f>
        <v>197.55271226699242</v>
      </c>
      <c r="Y22" s="26">
        <f>($C$4*Uitgangspunten!O4+Scenario!$C$5*Uitgangspunten!O10+Uitgangspunten!O12+Scenario!Y20+Y19)/12</f>
        <v>202.81868430766585</v>
      </c>
      <c r="Z22" s="26">
        <f>($C$4*Uitgangspunten!P4+Scenario!$C$5*Uitgangspunten!P10+Uitgangspunten!P12+Scenario!Z20+Z19)/12</f>
        <v>208.22942332301264</v>
      </c>
      <c r="AA22" s="26">
        <f>($C$4*Uitgangspunten!Q4+Scenario!$C$5*Uitgangspunten!Q10+Uitgangspunten!Q12+Scenario!AA20+AA19)/12</f>
        <v>213.78900807854225</v>
      </c>
      <c r="AB22" s="26">
        <f>($C$4*Uitgangspunten!R4+Scenario!$C$5*Uitgangspunten!R10+Uitgangspunten!R12+Scenario!AB20+AB19)/12</f>
        <v>219.50163441785449</v>
      </c>
      <c r="AC22" s="26">
        <f>($C$4*Uitgangspunten!S4+Scenario!$C$5*Uitgangspunten!S10+Uitgangspunten!S12+Scenario!AC20+AC19)/12</f>
        <v>225.37161866928525</v>
      </c>
      <c r="AD22" s="26">
        <f>($C$4*Uitgangspunten!T4+Scenario!$C$5*Uitgangspunten!T10+Uitgangspunten!T12+Scenario!AD20+AD19)/12</f>
        <v>231.4034011526368</v>
      </c>
      <c r="AE22" s="26">
        <f>($C$4*Uitgangspunten!U4+Scenario!$C$5*Uitgangspunten!U10+Uitgangspunten!U12+Scenario!AE20+AE19)/12</f>
        <v>237.60154978895443</v>
      </c>
      <c r="AF22" s="26">
        <f>($C$4*Uitgangspunten!V4+Scenario!$C$5*Uitgangspunten!V10+Uitgangspunten!V12+Scenario!AF20+AF19)/12</f>
        <v>243.97076381639633</v>
      </c>
    </row>
    <row r="23" spans="2:32" ht="14.45" customHeight="1" x14ac:dyDescent="0.45">
      <c r="E23" s="10"/>
      <c r="I23" s="5"/>
      <c r="N23" s="13"/>
      <c r="O23" s="26"/>
      <c r="P23" s="26"/>
      <c r="Q23" s="26"/>
      <c r="R23" s="26"/>
      <c r="S23" s="26"/>
    </row>
    <row r="24" spans="2:32" ht="14.45" customHeight="1" x14ac:dyDescent="0.45">
      <c r="N24" s="13"/>
      <c r="P24" s="13"/>
    </row>
    <row r="25" spans="2:32" ht="14.45" customHeight="1" x14ac:dyDescent="0.45">
      <c r="N25" s="13"/>
    </row>
    <row r="26" spans="2:32" ht="14.45" customHeight="1" x14ac:dyDescent="0.45">
      <c r="N26" s="13"/>
    </row>
    <row r="27" spans="2:32" ht="14.45" customHeight="1" x14ac:dyDescent="0.45">
      <c r="N27" s="13"/>
    </row>
    <row r="28" spans="2:32" ht="14.45" customHeight="1" x14ac:dyDescent="0.45">
      <c r="N28" s="13"/>
    </row>
    <row r="29" spans="2:32" ht="14.45" customHeight="1" x14ac:dyDescent="0.45"/>
    <row r="30" spans="2:32" ht="14.45" customHeight="1" x14ac:dyDescent="0.45"/>
    <row r="42" spans="2:27" x14ac:dyDescent="0.45">
      <c r="B42" t="s">
        <v>70</v>
      </c>
      <c r="C42">
        <v>0.32800000000000001</v>
      </c>
      <c r="D42" t="s">
        <v>71</v>
      </c>
      <c r="E42" s="39" t="s">
        <v>72</v>
      </c>
    </row>
    <row r="43" spans="2:27" x14ac:dyDescent="0.45">
      <c r="B43" t="s">
        <v>73</v>
      </c>
      <c r="C43">
        <v>2.1339999999999999</v>
      </c>
      <c r="D43" t="s">
        <v>74</v>
      </c>
      <c r="E43" s="39" t="s">
        <v>72</v>
      </c>
    </row>
    <row r="44" spans="2:27" x14ac:dyDescent="0.45">
      <c r="B44" t="s">
        <v>75</v>
      </c>
      <c r="C44">
        <v>25.05</v>
      </c>
      <c r="D44" t="s">
        <v>76</v>
      </c>
      <c r="E44" s="39" t="s">
        <v>72</v>
      </c>
    </row>
    <row r="45" spans="2:27" x14ac:dyDescent="0.45">
      <c r="Z45" s="12">
        <f>430*0.9</f>
        <v>387</v>
      </c>
      <c r="AA45" s="12">
        <f>+Z45*0.28/12</f>
        <v>9.0300000000000011</v>
      </c>
    </row>
    <row r="46" spans="2:27" x14ac:dyDescent="0.45">
      <c r="B46" t="s">
        <v>77</v>
      </c>
      <c r="C46" s="10">
        <f>+C4*C42+C5*C43</f>
        <v>2790</v>
      </c>
      <c r="D46" t="s">
        <v>78</v>
      </c>
    </row>
    <row r="47" spans="2:27" x14ac:dyDescent="0.45">
      <c r="B47" s="40" t="s">
        <v>79</v>
      </c>
      <c r="C47" s="41">
        <f>IF(C7="Warmtenet"," ",C14*C43)</f>
        <v>640.20000000000005</v>
      </c>
      <c r="D47" t="s">
        <v>78</v>
      </c>
    </row>
    <row r="48" spans="2:27" x14ac:dyDescent="0.45">
      <c r="B48" s="40" t="s">
        <v>80</v>
      </c>
      <c r="C48" s="42">
        <f>+C12*C42</f>
        <v>550.38400000000001</v>
      </c>
      <c r="D48" t="s">
        <v>78</v>
      </c>
    </row>
    <row r="49" spans="2:4" x14ac:dyDescent="0.45">
      <c r="B49" s="40" t="s">
        <v>81</v>
      </c>
      <c r="C49" s="41" t="str">
        <f>IF(C7="Warmtenet",C14*C44," ")</f>
        <v xml:space="preserve"> </v>
      </c>
      <c r="D49" t="s">
        <v>78</v>
      </c>
    </row>
    <row r="50" spans="2:4" x14ac:dyDescent="0.45">
      <c r="B50" s="40" t="s">
        <v>82</v>
      </c>
      <c r="C50" s="43">
        <f>SUM(C47:C48)</f>
        <v>1190.5840000000001</v>
      </c>
      <c r="D50" t="s">
        <v>78</v>
      </c>
    </row>
    <row r="51" spans="2:4" x14ac:dyDescent="0.45">
      <c r="C51" s="10"/>
    </row>
    <row r="52" spans="2:4" x14ac:dyDescent="0.45">
      <c r="B52" s="44" t="s">
        <v>83</v>
      </c>
      <c r="C52" s="45">
        <f>+C46-C50</f>
        <v>1599.4159999999999</v>
      </c>
      <c r="D52" t="s">
        <v>78</v>
      </c>
    </row>
    <row r="53" spans="2:4" x14ac:dyDescent="0.45">
      <c r="C53" s="1">
        <f>+C52/C46</f>
        <v>0.5732673835125448</v>
      </c>
    </row>
  </sheetData>
  <conditionalFormatting sqref="L3:L20">
    <cfRule type="cellIs" dxfId="1" priority="1" operator="greaterThan">
      <formula>0</formula>
    </cfRule>
    <cfRule type="cellIs" dxfId="0" priority="2" operator="lessThan">
      <formula>0</formula>
    </cfRule>
  </conditionalFormatting>
  <dataValidations count="1">
    <dataValidation type="list" allowBlank="1" showInputMessage="1" showErrorMessage="1" sqref="C7" xr:uid="{07BE0C1C-7058-494B-828F-1E9A24F0298D}">
      <formula1>"Geen,Hybride,All electric,Warmtenet"</formula1>
    </dataValidation>
  </dataValidations>
  <pageMargins left="0.7" right="0.7" top="0.75" bottom="0.75" header="0.3" footer="0.3"/>
  <pageSetup paperSize="9" orientation="portrait" verticalDpi="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b2d3099-36b5-41d5-85d6-0a6b1116e741">
      <Terms xmlns="http://schemas.microsoft.com/office/infopath/2007/PartnerControls"/>
    </lcf76f155ced4ddcb4097134ff3c332f>
    <TaxCatchAll xmlns="5edebdf7-6704-4367-8d75-30254b36c80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C4CE99099EE61489B70BFEAE2B02D54" ma:contentTypeVersion="17" ma:contentTypeDescription="Een nieuw document maken." ma:contentTypeScope="" ma:versionID="b3f09ed32c14432f766204dea473f858">
  <xsd:schema xmlns:xsd="http://www.w3.org/2001/XMLSchema" xmlns:xs="http://www.w3.org/2001/XMLSchema" xmlns:p="http://schemas.microsoft.com/office/2006/metadata/properties" xmlns:ns2="1b2d3099-36b5-41d5-85d6-0a6b1116e741" xmlns:ns3="5edebdf7-6704-4367-8d75-30254b36c804" targetNamespace="http://schemas.microsoft.com/office/2006/metadata/properties" ma:root="true" ma:fieldsID="74a1f210cc2eadb5a4a6ad542f086458" ns2:_="" ns3:_="">
    <xsd:import namespace="1b2d3099-36b5-41d5-85d6-0a6b1116e741"/>
    <xsd:import namespace="5edebdf7-6704-4367-8d75-30254b36c80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2d3099-36b5-41d5-85d6-0a6b1116e7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Afbeeldingtags" ma:readOnly="false" ma:fieldId="{5cf76f15-5ced-4ddc-b409-7134ff3c332f}" ma:taxonomyMulti="true" ma:sspId="47481b0d-ff21-43e6-992d-6712ee48cb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debdf7-6704-4367-8d75-30254b36c80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a5f246d0-ead8-4f8f-9196-c80b1363a473}" ma:internalName="TaxCatchAll" ma:showField="CatchAllData" ma:web="5edebdf7-6704-4367-8d75-30254b36c80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641553-6139-4E49-B89E-163305749A45}">
  <ds:schemaRefs>
    <ds:schemaRef ds:uri="http://schemas.microsoft.com/sharepoint/v3/contenttype/forms"/>
  </ds:schemaRefs>
</ds:datastoreItem>
</file>

<file path=customXml/itemProps2.xml><?xml version="1.0" encoding="utf-8"?>
<ds:datastoreItem xmlns:ds="http://schemas.openxmlformats.org/officeDocument/2006/customXml" ds:itemID="{727CA94E-11D1-4518-AEB1-21AE9F3CAC5E}">
  <ds:schemaRefs>
    <ds:schemaRef ds:uri="af8b5b28-0832-480a-98a2-06fb02594ef0"/>
    <ds:schemaRef ds:uri="http://purl.org/dc/terms/"/>
    <ds:schemaRef ds:uri="http://purl.org/dc/elements/1.1/"/>
    <ds:schemaRef ds:uri="http://www.w3.org/XML/1998/namespace"/>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dd5a027c-c94b-4e06-9c1b-3aab0bbfe788"/>
  </ds:schemaRefs>
</ds:datastoreItem>
</file>

<file path=customXml/itemProps3.xml><?xml version="1.0" encoding="utf-8"?>
<ds:datastoreItem xmlns:ds="http://schemas.openxmlformats.org/officeDocument/2006/customXml" ds:itemID="{CB44589B-CAB0-4CEE-95A9-B56F1692C0A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Uitgangspunten</vt:lpstr>
      <vt:lpstr>Scenario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 Stegers</dc:creator>
  <cp:keywords/>
  <dc:description/>
  <cp:lastModifiedBy>Paul Stegers</cp:lastModifiedBy>
  <cp:revision/>
  <dcterms:created xsi:type="dcterms:W3CDTF">2023-08-22T07:45:35Z</dcterms:created>
  <dcterms:modified xsi:type="dcterms:W3CDTF">2026-02-03T09:22:36Z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0x0101007C4CE99099EE61489B70BFEAE2B02D54</vt:lpwstr>
  </property>
  <property fmtid="{D5CDD505-2E9C-101B-9397-08002B2CF9AE}" pid="3" name="MediaServiceImageTags">
    <vt:lpwstr/>
  </property>
  <property fmtid="{D5CDD505-2E9C-101B-9397-08002B2CF9AE}" pid="4" name="Order">
    <vt:r8>1869000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