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C:\Users\MarjolijndeVoogdFitO\Downloads\"/>
    </mc:Choice>
  </mc:AlternateContent>
  <xr:revisionPtr revIDLastSave="0" documentId="13_ncr:1_{3A08CF23-B140-4FE1-8CA0-1DF8F7D9F00E}" xr6:coauthVersionLast="47" xr6:coauthVersionMax="47" xr10:uidLastSave="{00000000-0000-0000-0000-000000000000}"/>
  <bookViews>
    <workbookView xWindow="-28920" yWindow="-75" windowWidth="29040" windowHeight="15720" xr2:uid="{5C988534-6BF0-4E16-8926-494BF4A68FFA}"/>
  </bookViews>
  <sheets>
    <sheet name="Uitgangspunten" sheetId="1" r:id="rId1"/>
    <sheet name="Scenario"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 i="1" l="1"/>
  <c r="F5" i="1"/>
  <c r="G5" i="1"/>
  <c r="C17" i="2" a="1"/>
  <c r="C17" i="2" s="1"/>
  <c r="C24" i="1" l="1"/>
  <c r="X44" i="2"/>
  <c r="Y44" i="2" s="1"/>
  <c r="C14" i="2" l="1" a="1"/>
  <c r="C14" i="2" s="1"/>
  <c r="M16" i="2" s="1" a="1"/>
  <c r="M16" i="2" s="1"/>
  <c r="C10" i="2"/>
  <c r="C49" i="2"/>
  <c r="C46" i="2"/>
  <c r="C13" i="1"/>
  <c r="C9" i="2" a="1"/>
  <c r="C9" i="2" s="1"/>
  <c r="C12" i="2" l="1"/>
  <c r="F4" i="2"/>
  <c r="F5" i="2" s="1"/>
  <c r="F6" i="2" s="1"/>
  <c r="F7" i="2" s="1"/>
  <c r="F8" i="2" s="1"/>
  <c r="F9" i="2" s="1"/>
  <c r="F10" i="2" s="1"/>
  <c r="F11" i="2" s="1"/>
  <c r="F12" i="2" s="1"/>
  <c r="F13" i="2" s="1"/>
  <c r="F14" i="2" s="1"/>
  <c r="F15" i="2" s="1"/>
  <c r="F16" i="2" s="1"/>
  <c r="F17" i="2" s="1"/>
  <c r="F18" i="2" s="1"/>
  <c r="F19" i="2" s="1"/>
  <c r="F20" i="2" s="1"/>
  <c r="N2" i="2"/>
  <c r="O2" i="2" s="1"/>
  <c r="P2" i="2" s="1"/>
  <c r="Q2" i="2" s="1"/>
  <c r="R2" i="2" s="1"/>
  <c r="S2" i="2" s="1"/>
  <c r="T2" i="2" s="1"/>
  <c r="U2" i="2" s="1"/>
  <c r="V2" i="2" s="1"/>
  <c r="W2" i="2" s="1"/>
  <c r="X2" i="2" s="1"/>
  <c r="Y2" i="2" s="1"/>
  <c r="Z2" i="2" s="1"/>
  <c r="AA2" i="2" s="1"/>
  <c r="AB2" i="2" s="1"/>
  <c r="AC2" i="2" s="1"/>
  <c r="AD2" i="2" s="1"/>
  <c r="C9" i="1"/>
  <c r="F3" i="1"/>
  <c r="G3" i="1" s="1"/>
  <c r="H3" i="1" s="1"/>
  <c r="C18" i="2"/>
  <c r="M19" i="2" a="1"/>
  <c r="M19" i="2" s="1"/>
  <c r="N19" i="2" s="1"/>
  <c r="O19" i="2" s="1"/>
  <c r="P19" i="2" s="1"/>
  <c r="Q19" i="2" s="1"/>
  <c r="R19" i="2" s="1"/>
  <c r="S19" i="2" s="1"/>
  <c r="T19" i="2" s="1"/>
  <c r="U19" i="2" s="1"/>
  <c r="V19" i="2" s="1"/>
  <c r="W19" i="2" s="1"/>
  <c r="X19" i="2" s="1"/>
  <c r="Y19" i="2" s="1"/>
  <c r="Z19" i="2" s="1"/>
  <c r="AA19" i="2" s="1"/>
  <c r="AB19" i="2" s="1"/>
  <c r="AC19" i="2" s="1"/>
  <c r="AD19" i="2" s="1"/>
  <c r="N3" i="2" l="1"/>
  <c r="W3" i="2"/>
  <c r="I3" i="1"/>
  <c r="I5" i="1" s="1"/>
  <c r="H5" i="1"/>
  <c r="N16" i="2" a="1"/>
  <c r="N16" i="2" s="1"/>
  <c r="C47" i="2"/>
  <c r="P16" i="2" a="1"/>
  <c r="P16" i="2" s="1"/>
  <c r="AD3" i="2"/>
  <c r="X16" i="2" a="1"/>
  <c r="X16" i="2" s="1"/>
  <c r="AC3" i="2"/>
  <c r="U3" i="2"/>
  <c r="AC16" i="2" a="1"/>
  <c r="AC16" i="2" s="1"/>
  <c r="R16" i="2" a="1"/>
  <c r="R16" i="2" s="1"/>
  <c r="M3" i="2"/>
  <c r="AB3" i="2"/>
  <c r="T3" i="2"/>
  <c r="AB16" i="2" a="1"/>
  <c r="AB16" i="2" s="1"/>
  <c r="W16" i="2" a="1"/>
  <c r="W16" i="2" s="1"/>
  <c r="R3" i="2"/>
  <c r="AA3" i="2"/>
  <c r="S3" i="2"/>
  <c r="V16" i="2" a="1"/>
  <c r="V16" i="2" s="1"/>
  <c r="Q16" i="2" a="1"/>
  <c r="Q16" i="2" s="1"/>
  <c r="V3" i="2"/>
  <c r="S16" i="2" a="1"/>
  <c r="S16" i="2" s="1"/>
  <c r="Z3" i="2"/>
  <c r="P3" i="2"/>
  <c r="Y3" i="2"/>
  <c r="Z16" i="2" a="1"/>
  <c r="Z16" i="2" s="1"/>
  <c r="U16" i="2" a="1"/>
  <c r="U16" i="2" s="1"/>
  <c r="Q3" i="2"/>
  <c r="AA16" i="2" a="1"/>
  <c r="AA16" i="2" s="1"/>
  <c r="O3" i="2"/>
  <c r="X3" i="2"/>
  <c r="T16" i="2" a="1"/>
  <c r="T16" i="2" s="1"/>
  <c r="O16" i="2" a="1"/>
  <c r="O16" i="2" s="1"/>
  <c r="AD16" i="2" a="1"/>
  <c r="AD16" i="2" s="1"/>
  <c r="Y16" i="2" a="1"/>
  <c r="Y16" i="2" s="1"/>
  <c r="E14" i="1"/>
  <c r="F14" i="1" s="1"/>
  <c r="G14" i="1" s="1"/>
  <c r="H14" i="1" s="1"/>
  <c r="I14" i="1" s="1"/>
  <c r="J14" i="1" s="1"/>
  <c r="K14" i="1" s="1"/>
  <c r="L14" i="1" s="1"/>
  <c r="M14" i="1" s="1"/>
  <c r="N14" i="1" s="1"/>
  <c r="O14" i="1" s="1"/>
  <c r="P14" i="1" s="1"/>
  <c r="Q14" i="1" s="1"/>
  <c r="R14" i="1" s="1"/>
  <c r="S14" i="1" s="1"/>
  <c r="T14" i="1" s="1"/>
  <c r="U14" i="1" s="1"/>
  <c r="V14" i="1" s="1"/>
  <c r="E13" i="1"/>
  <c r="F13" i="1" s="1"/>
  <c r="G13" i="1" s="1"/>
  <c r="H13" i="1" s="1"/>
  <c r="I13" i="1" s="1"/>
  <c r="J13" i="1" s="1"/>
  <c r="K13" i="1" s="1"/>
  <c r="L13" i="1" s="1"/>
  <c r="M13" i="1" s="1"/>
  <c r="N13" i="1" s="1"/>
  <c r="O13" i="1" s="1"/>
  <c r="P13" i="1" s="1"/>
  <c r="Q13" i="1" s="1"/>
  <c r="R13" i="1" s="1"/>
  <c r="S13" i="1" s="1"/>
  <c r="T13" i="1" s="1"/>
  <c r="U13" i="1" s="1"/>
  <c r="V13" i="1" s="1"/>
  <c r="E9" i="1"/>
  <c r="F9" i="1" s="1"/>
  <c r="G9" i="1" s="1"/>
  <c r="H9" i="1" s="1"/>
  <c r="I9" i="1" s="1"/>
  <c r="J9" i="1" s="1"/>
  <c r="K9" i="1" s="1"/>
  <c r="L9" i="1" s="1"/>
  <c r="M9" i="1" s="1"/>
  <c r="N9" i="1" s="1"/>
  <c r="O9" i="1" s="1"/>
  <c r="P9" i="1" s="1"/>
  <c r="Q9" i="1" s="1"/>
  <c r="R9" i="1" s="1"/>
  <c r="S9" i="1" s="1"/>
  <c r="T9" i="1" s="1"/>
  <c r="U9" i="1" s="1"/>
  <c r="V9" i="1" s="1"/>
  <c r="E8" i="1"/>
  <c r="F8" i="1" s="1"/>
  <c r="G8" i="1" s="1"/>
  <c r="H8" i="1" s="1"/>
  <c r="I8" i="1" s="1"/>
  <c r="J8" i="1" s="1"/>
  <c r="K8" i="1" s="1"/>
  <c r="L8" i="1" s="1"/>
  <c r="M8" i="1" s="1"/>
  <c r="N8" i="1" s="1"/>
  <c r="O8" i="1" s="1"/>
  <c r="P8" i="1" s="1"/>
  <c r="Q8" i="1" s="1"/>
  <c r="R8" i="1" s="1"/>
  <c r="S8" i="1" s="1"/>
  <c r="T8" i="1" s="1"/>
  <c r="U8" i="1" s="1"/>
  <c r="V8" i="1" s="1"/>
  <c r="E7" i="1"/>
  <c r="F7" i="1" s="1"/>
  <c r="E4" i="1"/>
  <c r="M21" i="2" s="1"/>
  <c r="B17" i="2"/>
  <c r="F30" i="1"/>
  <c r="G30" i="1"/>
  <c r="H30" i="1"/>
  <c r="I30" i="1"/>
  <c r="J30" i="1"/>
  <c r="K30" i="1"/>
  <c r="L30" i="1"/>
  <c r="M30" i="1"/>
  <c r="N30" i="1"/>
  <c r="O30" i="1"/>
  <c r="P30" i="1"/>
  <c r="Q30" i="1"/>
  <c r="R30" i="1"/>
  <c r="S30" i="1"/>
  <c r="T30" i="1"/>
  <c r="U30" i="1"/>
  <c r="V30" i="1"/>
  <c r="E30" i="1"/>
  <c r="D14" i="2"/>
  <c r="B14" i="2"/>
  <c r="J3" i="1" l="1"/>
  <c r="K3" i="1" s="1"/>
  <c r="N14" i="2"/>
  <c r="G7" i="1"/>
  <c r="O14" i="2" s="1"/>
  <c r="F4" i="1"/>
  <c r="M18" i="2"/>
  <c r="M14" i="2"/>
  <c r="AB15" i="2"/>
  <c r="T15" i="2"/>
  <c r="AA15" i="2"/>
  <c r="S15" i="2"/>
  <c r="Y15" i="2"/>
  <c r="Q15" i="2"/>
  <c r="AD15" i="2"/>
  <c r="V15" i="2"/>
  <c r="N15" i="2"/>
  <c r="AC15" i="2"/>
  <c r="U15" i="2"/>
  <c r="Z15" i="2"/>
  <c r="R15" i="2"/>
  <c r="X15" i="2"/>
  <c r="P15" i="2"/>
  <c r="M15" i="2"/>
  <c r="W15" i="2"/>
  <c r="O15" i="2"/>
  <c r="N17" i="2"/>
  <c r="M17" i="2"/>
  <c r="C11" i="2"/>
  <c r="G4" i="1" l="1"/>
  <c r="J5" i="1"/>
  <c r="K5" i="1"/>
  <c r="L3" i="1"/>
  <c r="H7" i="1"/>
  <c r="E12" i="1"/>
  <c r="H4" i="1"/>
  <c r="N18" i="2"/>
  <c r="N21" i="2" s="1"/>
  <c r="O17" i="2"/>
  <c r="N13" i="2"/>
  <c r="O13" i="2"/>
  <c r="P13" i="2"/>
  <c r="Q13" i="2"/>
  <c r="R13" i="2"/>
  <c r="S13" i="2"/>
  <c r="T13" i="2"/>
  <c r="U13" i="2"/>
  <c r="V13" i="2"/>
  <c r="W13" i="2"/>
  <c r="X13" i="2"/>
  <c r="Y13" i="2"/>
  <c r="Z13" i="2"/>
  <c r="AA13" i="2"/>
  <c r="AB13" i="2"/>
  <c r="AC13" i="2"/>
  <c r="AD13" i="2"/>
  <c r="M13" i="2"/>
  <c r="N4" i="2"/>
  <c r="O4" i="2"/>
  <c r="J5" i="2" s="1"/>
  <c r="P4" i="2"/>
  <c r="Q4" i="2"/>
  <c r="R4" i="2"/>
  <c r="S4" i="2"/>
  <c r="T4" i="2"/>
  <c r="U4" i="2"/>
  <c r="V4" i="2"/>
  <c r="W4" i="2"/>
  <c r="X4" i="2"/>
  <c r="Y4" i="2"/>
  <c r="Z4" i="2"/>
  <c r="AA4" i="2"/>
  <c r="AB4" i="2"/>
  <c r="AC4" i="2"/>
  <c r="AD4" i="2"/>
  <c r="M4" i="2"/>
  <c r="E29" i="1"/>
  <c r="F29" i="1" s="1"/>
  <c r="G29" i="1" s="1"/>
  <c r="H29" i="1" s="1"/>
  <c r="I29" i="1" s="1"/>
  <c r="J29" i="1" s="1"/>
  <c r="K29" i="1" s="1"/>
  <c r="L29" i="1" s="1"/>
  <c r="M29" i="1" s="1"/>
  <c r="N29" i="1" s="1"/>
  <c r="O29" i="1" s="1"/>
  <c r="P29" i="1" s="1"/>
  <c r="Q29" i="1" s="1"/>
  <c r="R29" i="1" s="1"/>
  <c r="S29" i="1" s="1"/>
  <c r="T29" i="1" s="1"/>
  <c r="U29" i="1" s="1"/>
  <c r="V29" i="1" s="1"/>
  <c r="E31" i="1"/>
  <c r="F31" i="1" s="1"/>
  <c r="G31" i="1" s="1"/>
  <c r="H31" i="1" s="1"/>
  <c r="I31" i="1" s="1"/>
  <c r="J31" i="1" s="1"/>
  <c r="K31" i="1" s="1"/>
  <c r="L31" i="1" s="1"/>
  <c r="M31" i="1" s="1"/>
  <c r="N31" i="1" s="1"/>
  <c r="O31" i="1" s="1"/>
  <c r="P31" i="1" s="1"/>
  <c r="Q31" i="1" s="1"/>
  <c r="R31" i="1" s="1"/>
  <c r="S31" i="1" s="1"/>
  <c r="T31" i="1" s="1"/>
  <c r="U31" i="1" s="1"/>
  <c r="V31" i="1" s="1"/>
  <c r="E28" i="1"/>
  <c r="F28" i="1" s="1"/>
  <c r="G28" i="1" s="1"/>
  <c r="H28" i="1" s="1"/>
  <c r="I28" i="1" s="1"/>
  <c r="J28" i="1" s="1"/>
  <c r="K28" i="1" s="1"/>
  <c r="L28" i="1" s="1"/>
  <c r="M28" i="1" s="1"/>
  <c r="N28" i="1" s="1"/>
  <c r="O28" i="1" s="1"/>
  <c r="P28" i="1" s="1"/>
  <c r="Q28" i="1" s="1"/>
  <c r="R28" i="1" s="1"/>
  <c r="S28" i="1" s="1"/>
  <c r="T28" i="1" s="1"/>
  <c r="U28" i="1" s="1"/>
  <c r="V28" i="1" s="1"/>
  <c r="F25" i="1"/>
  <c r="F12" i="1" l="1"/>
  <c r="N7" i="2"/>
  <c r="L5" i="1"/>
  <c r="M3" i="1"/>
  <c r="I7" i="1"/>
  <c r="P14" i="2"/>
  <c r="I4" i="1"/>
  <c r="O18" i="2"/>
  <c r="O21" i="2" s="1"/>
  <c r="P17" i="2"/>
  <c r="N10" i="2"/>
  <c r="N11" i="2" s="1" a="1"/>
  <c r="N11" i="2" s="1"/>
  <c r="M10" i="2"/>
  <c r="M11" i="2" s="1" a="1"/>
  <c r="M11" i="2" s="1"/>
  <c r="E6" i="1" s="1"/>
  <c r="J11" i="2"/>
  <c r="M7" i="2"/>
  <c r="G25" i="1"/>
  <c r="O10" i="2" s="1"/>
  <c r="O11" i="2" s="1" a="1"/>
  <c r="O11" i="2" s="1"/>
  <c r="G12" i="1" l="1"/>
  <c r="F6" i="1"/>
  <c r="G6" i="1" s="1"/>
  <c r="H6" i="1" s="1"/>
  <c r="I6" i="1" s="1"/>
  <c r="J6" i="1" s="1"/>
  <c r="K6" i="1" s="1"/>
  <c r="L6" i="1" s="1"/>
  <c r="M6" i="1" s="1"/>
  <c r="N6" i="1" s="1"/>
  <c r="O6" i="1" s="1"/>
  <c r="P6" i="1" s="1"/>
  <c r="Q6" i="1" s="1"/>
  <c r="R6" i="1" s="1"/>
  <c r="S6" i="1" s="1"/>
  <c r="T6" i="1" s="1"/>
  <c r="U6" i="1" s="1"/>
  <c r="V6" i="1" s="1"/>
  <c r="O7" i="2"/>
  <c r="M5" i="1"/>
  <c r="N3" i="1"/>
  <c r="J7" i="1"/>
  <c r="Q14" i="2"/>
  <c r="J4" i="1"/>
  <c r="C48" i="2"/>
  <c r="C50" i="2" s="1"/>
  <c r="P18" i="2"/>
  <c r="P21" i="2" s="1"/>
  <c r="Q17" i="2"/>
  <c r="J14" i="2"/>
  <c r="J16" i="2"/>
  <c r="J12" i="2"/>
  <c r="J6" i="2"/>
  <c r="J8" i="2"/>
  <c r="J3" i="2"/>
  <c r="J18" i="2"/>
  <c r="J4" i="2"/>
  <c r="J20" i="2"/>
  <c r="J7" i="2"/>
  <c r="J13" i="2"/>
  <c r="J15" i="2"/>
  <c r="J9" i="2"/>
  <c r="J19" i="2"/>
  <c r="J10" i="2"/>
  <c r="J17" i="2"/>
  <c r="N5" i="2"/>
  <c r="M5" i="2"/>
  <c r="H25" i="1"/>
  <c r="O5" i="2"/>
  <c r="H12" i="1" l="1"/>
  <c r="C52" i="2"/>
  <c r="C53" i="2" s="1"/>
  <c r="P10" i="2"/>
  <c r="P11" i="2" s="1" a="1"/>
  <c r="P11" i="2" s="1"/>
  <c r="P7" i="2"/>
  <c r="O3" i="1"/>
  <c r="N5" i="1"/>
  <c r="K7" i="1"/>
  <c r="R14" i="2"/>
  <c r="K4" i="1"/>
  <c r="Q18" i="2"/>
  <c r="Q21" i="2" s="1"/>
  <c r="R17" i="2"/>
  <c r="N8" i="2"/>
  <c r="N6" i="2" s="1"/>
  <c r="M8" i="2"/>
  <c r="M9" i="2" s="1"/>
  <c r="O8" i="2"/>
  <c r="O9" i="2" s="1"/>
  <c r="O12" i="2" s="1"/>
  <c r="I25" i="1"/>
  <c r="Q7" i="2" s="1"/>
  <c r="P5" i="2"/>
  <c r="I12" i="1" l="1"/>
  <c r="P3" i="1"/>
  <c r="O5" i="1"/>
  <c r="L7" i="1"/>
  <c r="S14" i="2"/>
  <c r="L4" i="1"/>
  <c r="Q10" i="2"/>
  <c r="Q11" i="2" s="1" a="1"/>
  <c r="Q11" i="2" s="1"/>
  <c r="Q5" i="2"/>
  <c r="R18" i="2"/>
  <c r="R21" i="2" s="1"/>
  <c r="S17" i="2"/>
  <c r="N9" i="2"/>
  <c r="N12" i="2" s="1"/>
  <c r="M6" i="2"/>
  <c r="O6" i="2"/>
  <c r="M12" i="2"/>
  <c r="M20" i="2" s="1"/>
  <c r="G3" i="2" s="1"/>
  <c r="P8" i="2"/>
  <c r="P6" i="2" s="1"/>
  <c r="J25" i="1"/>
  <c r="J12" i="1" l="1"/>
  <c r="H3" i="2"/>
  <c r="I3" i="2" s="1"/>
  <c r="R10" i="2"/>
  <c r="R11" i="2" s="1" a="1"/>
  <c r="R11" i="2" s="1"/>
  <c r="R7" i="2"/>
  <c r="Q3" i="1"/>
  <c r="P5" i="1"/>
  <c r="M7" i="1"/>
  <c r="T14" i="2"/>
  <c r="N20" i="2"/>
  <c r="G4" i="2" s="1"/>
  <c r="H4" i="2" s="1"/>
  <c r="I4" i="2" s="1"/>
  <c r="K4" i="2"/>
  <c r="K3" i="2"/>
  <c r="O20" i="2"/>
  <c r="G5" i="2" s="1"/>
  <c r="H5" i="2" s="1"/>
  <c r="I5" i="2" s="1"/>
  <c r="K5" i="2"/>
  <c r="M4" i="1"/>
  <c r="S18" i="2"/>
  <c r="S21" i="2" s="1"/>
  <c r="T17" i="2"/>
  <c r="K25" i="1"/>
  <c r="R5" i="2"/>
  <c r="Q8" i="2"/>
  <c r="Q6" i="2" s="1"/>
  <c r="P9" i="2"/>
  <c r="P12" i="2" s="1"/>
  <c r="P20" i="2" s="1"/>
  <c r="G6" i="2" s="1"/>
  <c r="K12" i="1" l="1"/>
  <c r="I23" i="2"/>
  <c r="I24" i="2" s="1"/>
  <c r="S10" i="2"/>
  <c r="S11" i="2" s="1" a="1"/>
  <c r="S11" i="2" s="1"/>
  <c r="S7" i="2"/>
  <c r="R3" i="1"/>
  <c r="Q5" i="1"/>
  <c r="N7" i="1"/>
  <c r="U14" i="2"/>
  <c r="K6" i="2"/>
  <c r="N4" i="1"/>
  <c r="T18" i="2"/>
  <c r="T21" i="2" s="1"/>
  <c r="U17" i="2"/>
  <c r="R8" i="2"/>
  <c r="R9" i="2" s="1"/>
  <c r="Q9" i="2"/>
  <c r="L25" i="1"/>
  <c r="S5" i="2"/>
  <c r="L12" i="1" l="1"/>
  <c r="T10" i="2"/>
  <c r="T11" i="2" s="1" a="1"/>
  <c r="T11" i="2" s="1"/>
  <c r="T7" i="2"/>
  <c r="S3" i="1"/>
  <c r="R5" i="1"/>
  <c r="O7" i="1"/>
  <c r="V14" i="2"/>
  <c r="O4" i="1"/>
  <c r="U18" i="2"/>
  <c r="U21" i="2" s="1"/>
  <c r="V17" i="2"/>
  <c r="R6" i="2"/>
  <c r="H6" i="2"/>
  <c r="I6" i="2" s="1"/>
  <c r="Q12" i="2"/>
  <c r="R12" i="2"/>
  <c r="S8" i="2"/>
  <c r="S6" i="2" s="1"/>
  <c r="M25" i="1"/>
  <c r="T5" i="2"/>
  <c r="M12" i="1" l="1"/>
  <c r="U10" i="2"/>
  <c r="U11" i="2" s="1" a="1"/>
  <c r="U11" i="2" s="1"/>
  <c r="U7" i="2"/>
  <c r="T3" i="1"/>
  <c r="S5" i="1"/>
  <c r="P7" i="1"/>
  <c r="W14" i="2"/>
  <c r="Q20" i="2"/>
  <c r="G7" i="2" s="1"/>
  <c r="H7" i="2" s="1"/>
  <c r="K7" i="2"/>
  <c r="K8" i="2"/>
  <c r="R20" i="2"/>
  <c r="G8" i="2" s="1"/>
  <c r="H8" i="2" s="1"/>
  <c r="I8" i="2" s="1"/>
  <c r="P4" i="1"/>
  <c r="V18" i="2"/>
  <c r="V21" i="2" s="1"/>
  <c r="W17" i="2"/>
  <c r="T8" i="2"/>
  <c r="T6" i="2" s="1"/>
  <c r="S9" i="2"/>
  <c r="S12" i="2" s="1"/>
  <c r="N25" i="1"/>
  <c r="U5" i="2"/>
  <c r="N12" i="1" l="1"/>
  <c r="I7" i="2"/>
  <c r="V10" i="2"/>
  <c r="V11" i="2" s="1" a="1"/>
  <c r="V11" i="2" s="1"/>
  <c r="V7" i="2"/>
  <c r="T5" i="1"/>
  <c r="U3" i="1"/>
  <c r="Q7" i="1"/>
  <c r="X14" i="2"/>
  <c r="K9" i="2"/>
  <c r="S20" i="2"/>
  <c r="Q4" i="1"/>
  <c r="W18" i="2"/>
  <c r="W21" i="2" s="1"/>
  <c r="X17" i="2"/>
  <c r="U8" i="2"/>
  <c r="U9" i="2" s="1"/>
  <c r="T9" i="2"/>
  <c r="T12" i="2" s="1"/>
  <c r="O25" i="1"/>
  <c r="V5" i="2"/>
  <c r="O12" i="1" l="1"/>
  <c r="W10" i="2"/>
  <c r="W11" i="2" s="1" a="1"/>
  <c r="W11" i="2" s="1"/>
  <c r="W7" i="2"/>
  <c r="U5" i="1"/>
  <c r="V3" i="1"/>
  <c r="V5" i="1" s="1"/>
  <c r="R7" i="1"/>
  <c r="Y14" i="2"/>
  <c r="K10" i="2"/>
  <c r="T20" i="2"/>
  <c r="R4" i="1"/>
  <c r="X18" i="2"/>
  <c r="X21" i="2" s="1"/>
  <c r="Y17" i="2"/>
  <c r="U6" i="2"/>
  <c r="G9" i="2"/>
  <c r="H9" i="2" s="1"/>
  <c r="I9" i="2" s="1"/>
  <c r="V8" i="2"/>
  <c r="V9" i="2" s="1"/>
  <c r="P25" i="1"/>
  <c r="W5" i="2"/>
  <c r="U12" i="2"/>
  <c r="P12" i="1" l="1"/>
  <c r="X10" i="2"/>
  <c r="X11" i="2" s="1" a="1"/>
  <c r="X11" i="2" s="1"/>
  <c r="X7" i="2"/>
  <c r="S7" i="1"/>
  <c r="Z14" i="2"/>
  <c r="K11" i="2"/>
  <c r="U20" i="2"/>
  <c r="G11" i="2" s="1"/>
  <c r="H11" i="2" s="1"/>
  <c r="I11" i="2" s="1"/>
  <c r="S4" i="1"/>
  <c r="Y18" i="2"/>
  <c r="Y21" i="2" s="1"/>
  <c r="Z17" i="2"/>
  <c r="V6" i="2"/>
  <c r="G10" i="2"/>
  <c r="H10" i="2" s="1"/>
  <c r="I10" i="2" s="1"/>
  <c r="W8" i="2"/>
  <c r="W9" i="2" s="1"/>
  <c r="V12" i="2"/>
  <c r="Q25" i="1"/>
  <c r="X5" i="2"/>
  <c r="Q12" i="1" l="1"/>
  <c r="Y10" i="2"/>
  <c r="Y11" i="2" s="1" a="1"/>
  <c r="Y11" i="2" s="1"/>
  <c r="Y7" i="2"/>
  <c r="T7" i="1"/>
  <c r="AA14" i="2"/>
  <c r="K12" i="2"/>
  <c r="V20" i="2"/>
  <c r="G12" i="2" s="1"/>
  <c r="H12" i="2" s="1"/>
  <c r="I12" i="2" s="1"/>
  <c r="T4" i="1"/>
  <c r="Z18" i="2"/>
  <c r="Z21" i="2" s="1"/>
  <c r="AA17" i="2"/>
  <c r="W6" i="2"/>
  <c r="R25" i="1"/>
  <c r="Y5" i="2"/>
  <c r="W12" i="2"/>
  <c r="X8" i="2"/>
  <c r="X6" i="2" s="1"/>
  <c r="R12" i="1" l="1"/>
  <c r="Z10" i="2"/>
  <c r="Z11" i="2" s="1" a="1"/>
  <c r="Z11" i="2" s="1"/>
  <c r="Z7" i="2"/>
  <c r="U7" i="1"/>
  <c r="AB14" i="2"/>
  <c r="K13" i="2"/>
  <c r="W20" i="2"/>
  <c r="G13" i="2" s="1"/>
  <c r="H13" i="2" s="1"/>
  <c r="I13" i="2" s="1"/>
  <c r="U4" i="1"/>
  <c r="AA18" i="2"/>
  <c r="AA21" i="2" s="1"/>
  <c r="AB17" i="2"/>
  <c r="X9" i="2"/>
  <c r="S25" i="1"/>
  <c r="Z5" i="2"/>
  <c r="Y8" i="2"/>
  <c r="Y6" i="2" s="1"/>
  <c r="S12" i="1" l="1"/>
  <c r="AA10" i="2"/>
  <c r="AA11" i="2" s="1" a="1"/>
  <c r="AA11" i="2" s="1"/>
  <c r="AA7" i="2"/>
  <c r="V7" i="1"/>
  <c r="AC14" i="2"/>
  <c r="V4" i="1"/>
  <c r="AB18" i="2"/>
  <c r="AB21" i="2" s="1"/>
  <c r="AC17" i="2"/>
  <c r="AD17" i="2"/>
  <c r="Z8" i="2"/>
  <c r="Z9" i="2" s="1"/>
  <c r="X12" i="2"/>
  <c r="Y9" i="2"/>
  <c r="T25" i="1"/>
  <c r="AA5" i="2"/>
  <c r="T12" i="1" l="1"/>
  <c r="AB10" i="2"/>
  <c r="AB11" i="2" s="1" a="1"/>
  <c r="AB11" i="2" s="1"/>
  <c r="AB7" i="2"/>
  <c r="AD14" i="2"/>
  <c r="X20" i="2"/>
  <c r="G14" i="2" s="1"/>
  <c r="H14" i="2" s="1"/>
  <c r="I14" i="2" s="1"/>
  <c r="K14" i="2"/>
  <c r="AC18" i="2"/>
  <c r="AC21" i="2" s="1"/>
  <c r="AD18" i="2"/>
  <c r="AD21" i="2" s="1"/>
  <c r="Z6" i="2"/>
  <c r="Z12" i="2"/>
  <c r="AA8" i="2"/>
  <c r="AA6" i="2" s="1"/>
  <c r="U25" i="1"/>
  <c r="AB5" i="2"/>
  <c r="Y12" i="2"/>
  <c r="U12" i="1" l="1"/>
  <c r="AC10" i="2"/>
  <c r="AC11" i="2" s="1" a="1"/>
  <c r="AC11" i="2" s="1"/>
  <c r="AC7" i="2"/>
  <c r="Y20" i="2"/>
  <c r="G15" i="2" s="1"/>
  <c r="H15" i="2" s="1"/>
  <c r="I15" i="2" s="1"/>
  <c r="K15" i="2"/>
  <c r="K16" i="2"/>
  <c r="Z20" i="2"/>
  <c r="G16" i="2" s="1"/>
  <c r="H16" i="2" s="1"/>
  <c r="I16" i="2" s="1"/>
  <c r="AB8" i="2"/>
  <c r="AB9" i="2" s="1"/>
  <c r="V25" i="1"/>
  <c r="AC5" i="2"/>
  <c r="AA9" i="2"/>
  <c r="AA12" i="2" s="1"/>
  <c r="V12" i="1" l="1"/>
  <c r="AD10" i="2"/>
  <c r="AD11" i="2" s="1" a="1"/>
  <c r="AD11" i="2" s="1"/>
  <c r="AD7" i="2"/>
  <c r="K17" i="2"/>
  <c r="AA20" i="2"/>
  <c r="AB6" i="2"/>
  <c r="AB12" i="2"/>
  <c r="AC8" i="2"/>
  <c r="AC9" i="2" s="1"/>
  <c r="AC12" i="2" s="1"/>
  <c r="AD5" i="2"/>
  <c r="K18" i="2" l="1"/>
  <c r="AB20" i="2"/>
  <c r="G18" i="2" s="1"/>
  <c r="H18" i="2" s="1"/>
  <c r="I18" i="2" s="1"/>
  <c r="AC20" i="2"/>
  <c r="AC6" i="2"/>
  <c r="G17" i="2"/>
  <c r="H17" i="2" s="1"/>
  <c r="I17" i="2" s="1"/>
  <c r="AD8" i="2"/>
  <c r="AD9" i="2" s="1"/>
  <c r="K19" i="2" l="1"/>
  <c r="G19" i="2"/>
  <c r="H19" i="2" s="1"/>
  <c r="I19" i="2" s="1"/>
  <c r="AD6" i="2"/>
  <c r="AD12" i="2"/>
  <c r="K20" i="2" l="1"/>
  <c r="AD20" i="2"/>
  <c r="G20" i="2" s="1"/>
  <c r="H20" i="2" s="1"/>
  <c r="I20"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 Stegers</author>
  </authors>
  <commentList>
    <comment ref="B3" authorId="0" shapeId="0" xr:uid="{FD8303D2-5F3A-4F38-BD8E-E67507A112B9}">
      <text>
        <r>
          <rPr>
            <b/>
            <sz val="9"/>
            <color indexed="81"/>
            <rFont val="Tahoma"/>
            <family val="2"/>
          </rPr>
          <t>Paul Stegers:</t>
        </r>
        <r>
          <rPr>
            <sz val="9"/>
            <color indexed="81"/>
            <rFont val="Tahoma"/>
            <family val="2"/>
          </rPr>
          <t xml:space="preserve">
Vul hier in welke prijzen gelden voor de verschillende componenten over de jaren. Vul ook de indexatie in voor de verschillende onderdelen en maak een keuze of je de indexatie mee wilt nemen in de berekening.</t>
        </r>
      </text>
    </comment>
    <comment ref="B5" authorId="0" shapeId="0" xr:uid="{33075893-079C-4E13-BA55-B5EBB12475BD}">
      <text>
        <r>
          <rPr>
            <b/>
            <sz val="9"/>
            <color indexed="81"/>
            <rFont val="Tahoma"/>
            <family val="2"/>
          </rPr>
          <t>Paul Stegers:</t>
        </r>
        <r>
          <rPr>
            <sz val="9"/>
            <color indexed="81"/>
            <rFont val="Tahoma"/>
            <family val="2"/>
          </rPr>
          <t xml:space="preserve">
In deze vergoeding is meegenomen dat tot 2027 de vergoeding minimaal 80% is van het kale leveringstarief.</t>
        </r>
      </text>
    </comment>
    <comment ref="B10" authorId="0" shapeId="0" xr:uid="{EF5982C4-3FC2-4089-9011-E3929C49CE0F}">
      <text>
        <r>
          <rPr>
            <b/>
            <sz val="9"/>
            <color indexed="81"/>
            <rFont val="Tahoma"/>
            <family val="2"/>
          </rPr>
          <t>Paul Stegers:</t>
        </r>
        <r>
          <rPr>
            <sz val="9"/>
            <color indexed="81"/>
            <rFont val="Tahoma"/>
            <family val="2"/>
          </rPr>
          <t xml:space="preserve">
Via website Liander.</t>
        </r>
      </text>
    </comment>
    <comment ref="B11" authorId="0" shapeId="0" xr:uid="{97B58BF1-4D5B-4BC5-B62A-3C06588BBC37}">
      <text>
        <r>
          <rPr>
            <b/>
            <sz val="9"/>
            <color indexed="81"/>
            <rFont val="Tahoma"/>
            <family val="2"/>
          </rPr>
          <t>Paul Stegers:</t>
        </r>
        <r>
          <rPr>
            <sz val="9"/>
            <color indexed="81"/>
            <rFont val="Tahoma"/>
            <family val="2"/>
          </rPr>
          <t xml:space="preserve">
Via energiecontract Vandebron.</t>
        </r>
      </text>
    </comment>
    <comment ref="B13" authorId="0" shapeId="0" xr:uid="{70C7D312-73A3-423B-A953-283659AFF093}">
      <text>
        <r>
          <rPr>
            <b/>
            <sz val="9"/>
            <color indexed="81"/>
            <rFont val="Tahoma"/>
            <family val="2"/>
          </rPr>
          <t>Paul Stegers:</t>
        </r>
        <r>
          <rPr>
            <sz val="9"/>
            <color indexed="81"/>
            <rFont val="Tahoma"/>
            <family val="2"/>
          </rPr>
          <t xml:space="preserve">
Warmte en warm water plus het meettarief en huur afleverset.</t>
        </r>
      </text>
    </comment>
    <comment ref="B21" authorId="0" shapeId="0" xr:uid="{BA2A019B-8C25-49E9-8F44-3BEA27AE3C9B}">
      <text>
        <r>
          <rPr>
            <b/>
            <sz val="9"/>
            <color indexed="81"/>
            <rFont val="Tahoma"/>
            <family val="2"/>
          </rPr>
          <t>Paul Stegers:</t>
        </r>
        <r>
          <rPr>
            <sz val="9"/>
            <color indexed="81"/>
            <rFont val="Tahoma"/>
            <family val="2"/>
          </rPr>
          <t xml:space="preserve">
Vul hier het vermogen van een enkel zonnepaneel in, en het vermogensverlies per jaar van de zonnepanelen. Vul per jaar in hoeveel procent van de opgewekte stroom direct zelf gebruikt wordt.</t>
        </r>
      </text>
    </comment>
    <comment ref="B27" authorId="0" shapeId="0" xr:uid="{1A29CF06-83C0-47E6-AC59-B459C6FF50BC}">
      <text>
        <r>
          <rPr>
            <b/>
            <sz val="9"/>
            <color indexed="81"/>
            <rFont val="Tahoma"/>
            <family val="2"/>
          </rPr>
          <t>Paul Stegers:</t>
        </r>
        <r>
          <rPr>
            <sz val="9"/>
            <color indexed="81"/>
            <rFont val="Tahoma"/>
            <family val="2"/>
          </rPr>
          <t xml:space="preserve">
Vul hier de huurverhogingen in die gerekend worden voor de warmtepompen en de zonnepanelen, en de stijging van de huur per jaar.</t>
        </r>
      </text>
    </comment>
    <comment ref="B34" authorId="0" shapeId="0" xr:uid="{844B1644-6038-4804-91F0-35BB5393DBE5}">
      <text>
        <r>
          <rPr>
            <b/>
            <sz val="9"/>
            <color indexed="81"/>
            <rFont val="Tahoma"/>
            <family val="2"/>
          </rPr>
          <t>Paul Stegers:</t>
        </r>
        <r>
          <rPr>
            <sz val="9"/>
            <color indexed="81"/>
            <rFont val="Tahoma"/>
            <family val="2"/>
          </rPr>
          <t xml:space="preserve">
Vul hier het rendement (COP) van de warmtepomp in.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Paul Stegers</author>
    <author>tc={B61DA332-7781-4477-938A-635FDD2417C2}</author>
  </authors>
  <commentList>
    <comment ref="B3" authorId="0" shapeId="0" xr:uid="{C08F29BB-7949-4154-A18E-B1EFF0AAC5E4}">
      <text>
        <r>
          <rPr>
            <b/>
            <sz val="9"/>
            <color indexed="81"/>
            <rFont val="Tahoma"/>
            <family val="2"/>
          </rPr>
          <t>Paul Stegers:</t>
        </r>
        <r>
          <rPr>
            <sz val="9"/>
            <color indexed="81"/>
            <rFont val="Tahoma"/>
            <family val="2"/>
          </rPr>
          <t xml:space="preserve">
Vul hier in hoeveel verbruik de woning heeft met een gasketel.</t>
        </r>
      </text>
    </comment>
    <comment ref="B7" authorId="0" shapeId="0" xr:uid="{08EE1F31-476C-4D41-85ED-A7FEAFE0D60B}">
      <text>
        <r>
          <rPr>
            <b/>
            <sz val="9"/>
            <color indexed="81"/>
            <rFont val="Tahoma"/>
            <family val="2"/>
          </rPr>
          <t>Paul Stegers:</t>
        </r>
        <r>
          <rPr>
            <sz val="9"/>
            <color indexed="81"/>
            <rFont val="Tahoma"/>
            <family val="2"/>
          </rPr>
          <t xml:space="preserve">
Vul hier in hoe de woning verwarmd wordt. Vul hier ook het aantal zonnepanelen in.</t>
        </r>
      </text>
    </comment>
    <comment ref="C9" authorId="1" shapeId="0" xr:uid="{B61DA332-7781-4477-938A-635FDD2417C2}">
      <text>
        <t>[Opmerkingenthread]
U kunt deze opmerkingenthread lezen in uw versie van Excel. Eventuele wijzigingen aan de thread gaan echter verloren als het bestand wordt geopend in een nieuwere versie van Excel. Meer informatie: https://go.microsoft.com/fwlink/?linkid=870924
Opmerking:
    Formule hybride klopt niet=ALS.VOORWAARDEN(C7="Hybride";C4+(C5*(1-Uitgangspunten!C37)*10/Uitgangspunten!C36);C7="All electric";C4+(C5*10/Uitgangspunten!C36);C7="Geen";C4;C7="Warmtenet";C4)</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<sst xmlns="http://schemas.openxmlformats.org/spreadsheetml/2006/main" count="120" uniqueCount="88">
  <si>
    <t>prijsniveau november 2024 jaarcontract</t>
  </si>
  <si>
    <t>Energiekosten</t>
  </si>
  <si>
    <t>Elektraprijs</t>
  </si>
  <si>
    <t>kWh</t>
  </si>
  <si>
    <t>Terugleververgoeding</t>
  </si>
  <si>
    <t>Terugleverboete</t>
  </si>
  <si>
    <t>Ja</t>
  </si>
  <si>
    <t>maandelijks</t>
  </si>
  <si>
    <t>Gasprijs</t>
  </si>
  <si>
    <r>
      <t>m</t>
    </r>
    <r>
      <rPr>
        <vertAlign val="superscript"/>
        <sz val="11"/>
        <color theme="1"/>
        <rFont val="Calibri"/>
        <family val="2"/>
        <scheme val="minor"/>
      </rPr>
      <t>3</t>
    </r>
  </si>
  <si>
    <t>Warmtetarief</t>
  </si>
  <si>
    <t>GJ</t>
  </si>
  <si>
    <t>Vastrecht elektra</t>
  </si>
  <si>
    <t>jaarlijks</t>
  </si>
  <si>
    <t>Netbeheerkosten</t>
  </si>
  <si>
    <t>dag</t>
  </si>
  <si>
    <t>Vaste leveringskosten</t>
  </si>
  <si>
    <t>Vastrecht gas</t>
  </si>
  <si>
    <t>Vastrecht warmte</t>
  </si>
  <si>
    <t>Vermindering energiebelasting</t>
  </si>
  <si>
    <t>Indexatie elektraprijs</t>
  </si>
  <si>
    <t>Indexatie gasprijs</t>
  </si>
  <si>
    <t>Indexatie warmteprijs</t>
  </si>
  <si>
    <t>Indexatie overige</t>
  </si>
  <si>
    <t>Prijsindexatie aanzetten?</t>
  </si>
  <si>
    <t>Zonnepanelen</t>
  </si>
  <si>
    <t>Vermogen</t>
  </si>
  <si>
    <t>Wp</t>
  </si>
  <si>
    <t>Saldering</t>
  </si>
  <si>
    <t>Eigen gebruik</t>
  </si>
  <si>
    <t>Vermogensverlies</t>
  </si>
  <si>
    <t>%/jaar</t>
  </si>
  <si>
    <t>Huurcomponenten</t>
  </si>
  <si>
    <t>Warmtenet</t>
  </si>
  <si>
    <t>stuk</t>
  </si>
  <si>
    <t>Huurstijging</t>
  </si>
  <si>
    <t>Warmtepomp</t>
  </si>
  <si>
    <t>COP</t>
  </si>
  <si>
    <t>Gasbesparing hybride</t>
  </si>
  <si>
    <t>Jaarlijks</t>
  </si>
  <si>
    <t>Totaal</t>
  </si>
  <si>
    <t>Energielasten</t>
  </si>
  <si>
    <t>Huur</t>
  </si>
  <si>
    <t>Huidige situatie gas</t>
  </si>
  <si>
    <t>Standaard verbruik</t>
  </si>
  <si>
    <t>Huurcomponent warmtepomp</t>
  </si>
  <si>
    <t>Elektra</t>
  </si>
  <si>
    <t>Huurcomponent zonnepanelen</t>
  </si>
  <si>
    <t>Gas</t>
  </si>
  <si>
    <t>Inkoop stroom (kWh)</t>
  </si>
  <si>
    <t>Inkoop stroom daadwerkelijk (kWh)</t>
  </si>
  <si>
    <t>Saldering (kWh)</t>
  </si>
  <si>
    <t>Aantal zonnepanelen</t>
  </si>
  <si>
    <t>Saldering daadwerkelijk (kWh)</t>
  </si>
  <si>
    <t>Stroomverbruik bruto jaar 1</t>
  </si>
  <si>
    <t>Teruglevering (kWh)</t>
  </si>
  <si>
    <t>Opwek jaar 1</t>
  </si>
  <si>
    <t>Teruglevering voor boete (kWh)</t>
  </si>
  <si>
    <t>Teruglevering jaar 1</t>
  </si>
  <si>
    <t>Terugleverboete (€)</t>
  </si>
  <si>
    <t>Stroomverbruik netto jaar 1</t>
  </si>
  <si>
    <t>Inkoop stroom (€)</t>
  </si>
  <si>
    <t>Vastrecht elektra (€)</t>
  </si>
  <si>
    <t>Inkoop gas (€)</t>
  </si>
  <si>
    <t>Inkoop warmte (€)</t>
  </si>
  <si>
    <t>Vastrecht gas (€)</t>
  </si>
  <si>
    <t>Vastrecht warmte (€)</t>
  </si>
  <si>
    <t>Vermindering energiebelasting (€)</t>
  </si>
  <si>
    <t>Vastrecht gasreferentie</t>
  </si>
  <si>
    <t>Referentie gas</t>
  </si>
  <si>
    <t>Co2 uitstoot electra</t>
  </si>
  <si>
    <t>kg/kwh</t>
  </si>
  <si>
    <t>https://www.co2emissiefactoren.nl/lijst-emissiefactoren/</t>
  </si>
  <si>
    <t>Co2 uitstoot gas</t>
  </si>
  <si>
    <t>kg/m3</t>
  </si>
  <si>
    <t>Co2 uitstoot warmtenet</t>
  </si>
  <si>
    <t>KG/GJ</t>
  </si>
  <si>
    <t>C02 uitstoot huidig</t>
  </si>
  <si>
    <t>KG</t>
  </si>
  <si>
    <t xml:space="preserve">Co2 uitstoot gas nieuw </t>
  </si>
  <si>
    <t xml:space="preserve">Co2 uitstoot electra nieuw </t>
  </si>
  <si>
    <t xml:space="preserve">Co2 uitstoot wamtenet nieuw </t>
  </si>
  <si>
    <t>Co2 uitstoot nieuw</t>
  </si>
  <si>
    <t>Co2 besparing</t>
  </si>
  <si>
    <t>prijsupdate 29-7-2025</t>
  </si>
  <si>
    <t>All electric</t>
  </si>
  <si>
    <t>Warmtepomp hybride (FICTIEF)</t>
  </si>
  <si>
    <t>Warmtepomp all electric (FICTIEF)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</si>
</sst>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quot;€&quot;\ * #,##0.00_ ;_ &quot;€&quot;\ * \-#,##0.00_ ;_ &quot;€&quot;\ * &quot;-&quot;??_ ;_ @_ "/>
    <numFmt numFmtId="43" formatCode="_ * #,##0.00_ ;_ * \-#,##0.00_ ;_ * &quot;-&quot;??_ ;_ @_ "/>
    <numFmt numFmtId="164" formatCode="_ &quot;€&quot;\ * #,##0.0000_ ;_ &quot;€&quot;\ * \-#,##0.0000_ ;_ &quot;€&quot;\ * &quot;-&quot;??_ ;_ @_ "/>
    <numFmt numFmtId="165" formatCode="_ * #,##0_ ;_ * \-#,##0_ ;_ * &quot;-&quot;??_ ;_ @_ "/>
    <numFmt numFmtId="166" formatCode="0.0"/>
    <numFmt numFmtId="167" formatCode="0.00000"/>
    <numFmt numFmtId="168" formatCode="_ &quot;€&quot;\ * #,##0.00000_ ;_ &quot;€&quot;\ * \-#,##0.00000_ ;_ &quot;€&quot;\ * &quot;-&quot;??_ ;_ @_ "/>
  </numFmts>
  <fonts count="14" x14ac:knownFonts="1">
    <font>
      <sz val="11"/>
      <color theme="1"/>
      <name val="Calibri"/>
      <family val="2"/>
      <scheme val="minor"/>
    </font>
    <font>
      <sz val="11"/>
      <color theme="1"/>
      <name val="Calibri"/>
      <family val="2"/>
      <scheme val="minor"/>
    </font>
    <font>
      <b/>
      <sz val="11"/>
      <color theme="1"/>
      <name val="Calibri"/>
      <family val="2"/>
      <scheme val="minor"/>
    </font>
    <font>
      <vertAlign val="superscript"/>
      <sz val="11"/>
      <color theme="1"/>
      <name val="Calibri"/>
      <family val="2"/>
      <scheme val="minor"/>
    </font>
    <font>
      <sz val="11"/>
      <color theme="0" tint="-0.249977111117893"/>
      <name val="Calibri"/>
      <family val="2"/>
      <scheme val="minor"/>
    </font>
    <font>
      <sz val="9"/>
      <color indexed="81"/>
      <name val="Tahoma"/>
      <family val="2"/>
    </font>
    <font>
      <b/>
      <sz val="9"/>
      <color indexed="81"/>
      <name val="Tahoma"/>
      <family val="2"/>
    </font>
    <font>
      <b/>
      <sz val="11"/>
      <color theme="0" tint="-0.499984740745262"/>
      <name val="Calibri"/>
      <family val="2"/>
      <scheme val="minor"/>
    </font>
    <font>
      <sz val="11"/>
      <color theme="0" tint="-0.499984740745262"/>
      <name val="Calibri"/>
      <family val="2"/>
      <scheme val="minor"/>
    </font>
    <font>
      <sz val="11"/>
      <color rgb="FFFF0000"/>
      <name val="Calibri"/>
      <family val="2"/>
      <scheme val="minor"/>
    </font>
    <font>
      <b/>
      <sz val="11"/>
      <color rgb="FFFF0000"/>
      <name val="Calibri"/>
      <family val="2"/>
      <scheme val="minor"/>
    </font>
    <font>
      <u/>
      <sz val="11"/>
      <color theme="10"/>
      <name val="Calibri"/>
      <family val="2"/>
      <scheme val="minor"/>
    </font>
    <font>
      <sz val="11"/>
      <color theme="0" tint="-0.34998626667073579"/>
      <name val="Calibri"/>
      <family val="2"/>
      <scheme val="minor"/>
    </font>
    <font>
      <sz val="11"/>
      <color rgb="FF000000"/>
      <name val="Calibri"/>
      <family val="2"/>
      <scheme val="minor"/>
    </font>
  </fonts>
  <fills count="9">
    <fill>
      <patternFill patternType="none"/>
    </fill>
    <fill>
      <patternFill patternType="gray125"/>
    </fill>
    <fill>
      <patternFill patternType="solid">
        <fgColor theme="5" tint="0.7999816888943144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rgb="FF92D05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1" fillId="0" borderId="0" applyNumberFormat="0" applyFill="0" applyBorder="0" applyAlignment="0" applyProtection="0"/>
  </cellStyleXfs>
  <cellXfs count="55">
    <xf numFmtId="0" fontId="0" fillId="0" borderId="0" xfId="0"/>
    <xf numFmtId="9" fontId="0" fillId="0" borderId="0" xfId="2" applyFont="1"/>
    <xf numFmtId="0" fontId="2" fillId="0" borderId="0" xfId="0" applyFont="1"/>
    <xf numFmtId="44" fontId="0" fillId="0" borderId="0" xfId="1" applyFont="1"/>
    <xf numFmtId="0" fontId="0" fillId="0" borderId="0" xfId="0" applyAlignment="1">
      <alignment horizontal="left" indent="1"/>
    </xf>
    <xf numFmtId="44" fontId="0" fillId="0" borderId="0" xfId="0" applyNumberFormat="1"/>
    <xf numFmtId="0" fontId="0" fillId="2" borderId="1" xfId="0" applyFill="1" applyBorder="1"/>
    <xf numFmtId="44" fontId="0" fillId="2" borderId="1" xfId="1" applyFont="1" applyFill="1" applyBorder="1"/>
    <xf numFmtId="164" fontId="0" fillId="2" borderId="1" xfId="1" applyNumberFormat="1" applyFont="1" applyFill="1" applyBorder="1"/>
    <xf numFmtId="165" fontId="0" fillId="2" borderId="1" xfId="3" applyNumberFormat="1" applyFont="1" applyFill="1" applyBorder="1"/>
    <xf numFmtId="165" fontId="0" fillId="0" borderId="0" xfId="0" applyNumberFormat="1"/>
    <xf numFmtId="165" fontId="0" fillId="0" borderId="0" xfId="3" applyNumberFormat="1" applyFont="1" applyFill="1" applyBorder="1"/>
    <xf numFmtId="0" fontId="4" fillId="0" borderId="0" xfId="0" applyFont="1"/>
    <xf numFmtId="44" fontId="4" fillId="0" borderId="0" xfId="0" applyNumberFormat="1" applyFont="1"/>
    <xf numFmtId="44" fontId="4" fillId="0" borderId="0" xfId="1" applyFont="1" applyFill="1"/>
    <xf numFmtId="165" fontId="4" fillId="0" borderId="0" xfId="3" applyNumberFormat="1" applyFont="1" applyFill="1"/>
    <xf numFmtId="9" fontId="0" fillId="2" borderId="1" xfId="2" applyFont="1" applyFill="1" applyBorder="1"/>
    <xf numFmtId="166" fontId="0" fillId="2" borderId="1" xfId="0" applyNumberFormat="1" applyFill="1" applyBorder="1"/>
    <xf numFmtId="9" fontId="0" fillId="2" borderId="1" xfId="0" applyNumberFormat="1" applyFill="1" applyBorder="1"/>
    <xf numFmtId="9" fontId="0" fillId="0" borderId="0" xfId="0" applyNumberFormat="1"/>
    <xf numFmtId="44" fontId="0" fillId="0" borderId="0" xfId="1" applyFont="1" applyFill="1" applyBorder="1"/>
    <xf numFmtId="1" fontId="0" fillId="2" borderId="1" xfId="0" applyNumberFormat="1" applyFill="1" applyBorder="1"/>
    <xf numFmtId="0" fontId="0" fillId="0" borderId="2" xfId="0" applyBorder="1"/>
    <xf numFmtId="0" fontId="2" fillId="0" borderId="3" xfId="0" applyFont="1" applyBorder="1"/>
    <xf numFmtId="0" fontId="7" fillId="0" borderId="3" xfId="0" applyFont="1" applyBorder="1"/>
    <xf numFmtId="0" fontId="7" fillId="0" borderId="4" xfId="0" applyFont="1" applyBorder="1"/>
    <xf numFmtId="0" fontId="0" fillId="0" borderId="5" xfId="0" applyBorder="1"/>
    <xf numFmtId="44" fontId="0" fillId="0" borderId="0" xfId="1" applyFont="1" applyBorder="1"/>
    <xf numFmtId="44" fontId="8" fillId="0" borderId="0" xfId="1" applyFont="1" applyBorder="1"/>
    <xf numFmtId="44" fontId="8" fillId="0" borderId="6" xfId="1" applyFont="1" applyBorder="1"/>
    <xf numFmtId="0" fontId="0" fillId="0" borderId="7" xfId="0" applyBorder="1"/>
    <xf numFmtId="44" fontId="0" fillId="0" borderId="8" xfId="1" applyFont="1" applyBorder="1"/>
    <xf numFmtId="44" fontId="8" fillId="0" borderId="8" xfId="1" applyFont="1" applyBorder="1"/>
    <xf numFmtId="44" fontId="8" fillId="0" borderId="9" xfId="1" applyFont="1" applyBorder="1"/>
    <xf numFmtId="44" fontId="4" fillId="0" borderId="0" xfId="1" applyFont="1"/>
    <xf numFmtId="164" fontId="0" fillId="0" borderId="0" xfId="1" applyNumberFormat="1" applyFont="1" applyFill="1" applyBorder="1"/>
    <xf numFmtId="0" fontId="0" fillId="3" borderId="0" xfId="0" applyFill="1"/>
    <xf numFmtId="0" fontId="0" fillId="4" borderId="0" xfId="0" applyFill="1"/>
    <xf numFmtId="0" fontId="0" fillId="5" borderId="0" xfId="0" applyFill="1"/>
    <xf numFmtId="0" fontId="0" fillId="6" borderId="0" xfId="0" applyFill="1"/>
    <xf numFmtId="167" fontId="0" fillId="0" borderId="0" xfId="0" applyNumberFormat="1"/>
    <xf numFmtId="0" fontId="0" fillId="0" borderId="0" xfId="3" applyNumberFormat="1" applyFont="1" applyFill="1" applyBorder="1"/>
    <xf numFmtId="0" fontId="0" fillId="6" borderId="0" xfId="0" applyFill="1" applyAlignment="1">
      <alignment horizontal="left" indent="1"/>
    </xf>
    <xf numFmtId="168" fontId="0" fillId="2" borderId="1" xfId="1" applyNumberFormat="1" applyFont="1" applyFill="1" applyBorder="1"/>
    <xf numFmtId="0" fontId="9" fillId="0" borderId="0" xfId="0" applyFont="1"/>
    <xf numFmtId="0" fontId="10" fillId="0" borderId="0" xfId="0" applyFont="1"/>
    <xf numFmtId="44" fontId="9" fillId="0" borderId="0" xfId="1" applyFont="1" applyBorder="1"/>
    <xf numFmtId="0" fontId="11" fillId="0" borderId="0" xfId="4"/>
    <xf numFmtId="0" fontId="0" fillId="7" borderId="0" xfId="0" applyFill="1"/>
    <xf numFmtId="1" fontId="0" fillId="0" borderId="0" xfId="0" applyNumberFormat="1"/>
    <xf numFmtId="165" fontId="12" fillId="7" borderId="0" xfId="0" applyNumberFormat="1" applyFont="1" applyFill="1"/>
    <xf numFmtId="165" fontId="0" fillId="7" borderId="0" xfId="1" applyNumberFormat="1" applyFont="1" applyFill="1"/>
    <xf numFmtId="0" fontId="0" fillId="8" borderId="0" xfId="0" applyFill="1"/>
    <xf numFmtId="165" fontId="0" fillId="8" borderId="0" xfId="0" applyNumberFormat="1" applyFill="1"/>
    <xf numFmtId="44" fontId="13" fillId="0" borderId="0" xfId="1" applyFont="1"/>
  </cellXfs>
  <cellStyles count="5">
    <cellStyle name="Hyperlink" xfId="4" builtinId="8"/>
    <cellStyle name="Komma" xfId="3" builtinId="3"/>
    <cellStyle name="Procent" xfId="2" builtinId="5"/>
    <cellStyle name="Standaard" xfId="0" builtinId="0"/>
    <cellStyle name="Valuta" xfId="1"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3.xml"/><Relationship Id="rId5" Type="http://schemas.openxmlformats.org/officeDocument/2006/relationships/sharedStrings" Target="sharedStrings.xml"/><Relationship Id="rId10" Type="http://schemas.openxmlformats.org/officeDocument/2006/relationships/customXml" Target="../customXml/item2.xml"/><Relationship Id="rId4" Type="http://schemas.openxmlformats.org/officeDocument/2006/relationships/styles" Target="styles.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r>
              <a:rPr lang="nl-NL"/>
              <a:t>Inkoop,</a:t>
            </a:r>
            <a:r>
              <a:rPr lang="nl-NL" baseline="0"/>
              <a:t> opwek en teruglevering stroom</a:t>
            </a:r>
            <a:endParaRPr lang="nl-NL"/>
          </a:p>
        </c:rich>
      </c:tx>
      <c:overlay val="0"/>
      <c:spPr>
        <a:noFill/>
        <a:ln>
          <a:noFill/>
        </a:ln>
        <a:effectLst/>
      </c:spPr>
      <c:txPr>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endParaRPr lang="nl-NL"/>
        </a:p>
      </c:txPr>
    </c:title>
    <c:autoTitleDeleted val="0"/>
    <c:plotArea>
      <c:layout/>
      <c:lineChart>
        <c:grouping val="standard"/>
        <c:varyColors val="0"/>
        <c:ser>
          <c:idx val="4"/>
          <c:order val="3"/>
          <c:tx>
            <c:strRef>
              <c:f>Scenario!$L$6</c:f>
              <c:strCache>
                <c:ptCount val="1"/>
                <c:pt idx="0">
                  <c:v> Inkoop stroom daadwerkelijk (kWh) </c:v>
                </c:pt>
              </c:strCache>
            </c:strRef>
          </c:tx>
          <c:spPr>
            <a:ln w="22225" cap="rnd">
              <a:solidFill>
                <a:schemeClr val="accent5"/>
              </a:solidFill>
            </a:ln>
            <a:effectLst>
              <a:glow rad="139700">
                <a:schemeClr val="accent5">
                  <a:satMod val="175000"/>
                  <a:alpha val="14000"/>
                </a:schemeClr>
              </a:glow>
            </a:effectLst>
          </c:spPr>
          <c:marker>
            <c:symbol val="none"/>
          </c:marker>
          <c:cat>
            <c:numRef>
              <c:f>Scenario!$M$2:$AD$2</c:f>
              <c:numCache>
                <c:formatCode>General</c:formatCode>
                <c:ptCount val="18"/>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numCache>
            </c:numRef>
          </c:cat>
          <c:val>
            <c:numRef>
              <c:f>Scenario!$M$6:$AD$6</c:f>
              <c:numCache>
                <c:formatCode>_ * #,##0_ ;_ * \-#,##0_ ;_ * "-"??_ ;_ @_ </c:formatCode>
                <c:ptCount val="18"/>
                <c:pt idx="0">
                  <c:v>3820.8571428571431</c:v>
                </c:pt>
                <c:pt idx="1">
                  <c:v>3832.4671428571428</c:v>
                </c:pt>
                <c:pt idx="2">
                  <c:v>5453.2231428571431</c:v>
                </c:pt>
                <c:pt idx="3">
                  <c:v>5456.7061428571433</c:v>
                </c:pt>
                <c:pt idx="4">
                  <c:v>5460.1891428571435</c:v>
                </c:pt>
                <c:pt idx="5">
                  <c:v>5463.6721428571436</c:v>
                </c:pt>
                <c:pt idx="6">
                  <c:v>5467.1551428571429</c:v>
                </c:pt>
                <c:pt idx="7">
                  <c:v>5470.6381428571431</c:v>
                </c:pt>
                <c:pt idx="8">
                  <c:v>5474.1211428571432</c:v>
                </c:pt>
                <c:pt idx="9">
                  <c:v>5477.6041428571434</c:v>
                </c:pt>
                <c:pt idx="10">
                  <c:v>5481.0871428571427</c:v>
                </c:pt>
                <c:pt idx="11">
                  <c:v>5484.5701428571429</c:v>
                </c:pt>
                <c:pt idx="12">
                  <c:v>5488.053142857143</c:v>
                </c:pt>
                <c:pt idx="13">
                  <c:v>5491.5361428571432</c:v>
                </c:pt>
                <c:pt idx="14">
                  <c:v>5495.0191428571434</c:v>
                </c:pt>
                <c:pt idx="15">
                  <c:v>5498.5021428571436</c:v>
                </c:pt>
                <c:pt idx="16">
                  <c:v>5501.9851428571428</c:v>
                </c:pt>
                <c:pt idx="17">
                  <c:v>5505.468142857143</c:v>
                </c:pt>
              </c:numCache>
            </c:numRef>
          </c:val>
          <c:smooth val="0"/>
          <c:extLst>
            <c:ext xmlns:c16="http://schemas.microsoft.com/office/drawing/2014/chart" uri="{C3380CC4-5D6E-409C-BE32-E72D297353CC}">
              <c16:uniqueId val="{00000004-5A34-4D4C-9BBA-1EC4D2648EA5}"/>
            </c:ext>
          </c:extLst>
        </c:ser>
        <c:ser>
          <c:idx val="1"/>
          <c:order val="5"/>
          <c:tx>
            <c:strRef>
              <c:f>Scenario!$L$8</c:f>
              <c:strCache>
                <c:ptCount val="1"/>
                <c:pt idx="0">
                  <c:v> Saldering daadwerkelijk (kWh) </c:v>
                </c:pt>
              </c:strCache>
            </c:strRef>
          </c:tx>
          <c:spPr>
            <a:ln w="22225" cap="rnd">
              <a:solidFill>
                <a:schemeClr val="accent2"/>
              </a:solidFill>
            </a:ln>
            <a:effectLst>
              <a:glow rad="139700">
                <a:schemeClr val="accent2">
                  <a:satMod val="175000"/>
                  <a:alpha val="14000"/>
                </a:schemeClr>
              </a:glow>
            </a:effectLst>
          </c:spPr>
          <c:marker>
            <c:symbol val="none"/>
          </c:marker>
          <c:cat>
            <c:numRef>
              <c:f>Scenario!$M$2:$AD$2</c:f>
              <c:numCache>
                <c:formatCode>General</c:formatCode>
                <c:ptCount val="18"/>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numCache>
            </c:numRef>
          </c:cat>
          <c:val>
            <c:numRef>
              <c:f>Scenario!$M$8:$AD$8</c:f>
              <c:numCache>
                <c:formatCode>_ * #,##0_ ;_ * \-#,##0_ ;_ * "-"??_ ;_ @_ </c:formatCode>
                <c:ptCount val="18"/>
                <c:pt idx="0">
                  <c:v>1625.3999999999999</c:v>
                </c:pt>
                <c:pt idx="1">
                  <c:v>1617.2729999999999</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smooth val="0"/>
          <c:extLst>
            <c:ext xmlns:c16="http://schemas.microsoft.com/office/drawing/2014/chart" uri="{C3380CC4-5D6E-409C-BE32-E72D297353CC}">
              <c16:uniqueId val="{00000000-1B52-4D2D-83B3-04C25B3DB4BB}"/>
            </c:ext>
          </c:extLst>
        </c:ser>
        <c:ser>
          <c:idx val="6"/>
          <c:order val="6"/>
          <c:tx>
            <c:strRef>
              <c:f>Scenario!$L$9</c:f>
              <c:strCache>
                <c:ptCount val="1"/>
                <c:pt idx="0">
                  <c:v> Teruglevering (kWh) </c:v>
                </c:pt>
              </c:strCache>
            </c:strRef>
          </c:tx>
          <c:spPr>
            <a:ln w="22225" cap="rnd">
              <a:solidFill>
                <a:schemeClr val="accent1">
                  <a:lumMod val="60000"/>
                </a:schemeClr>
              </a:solidFill>
            </a:ln>
            <a:effectLst>
              <a:glow rad="139700">
                <a:schemeClr val="accent1">
                  <a:lumMod val="60000"/>
                  <a:satMod val="175000"/>
                  <a:alpha val="14000"/>
                </a:schemeClr>
              </a:glow>
            </a:effectLst>
          </c:spPr>
          <c:marker>
            <c:symbol val="none"/>
          </c:marker>
          <c:cat>
            <c:numRef>
              <c:f>Scenario!$M$2:$AD$2</c:f>
              <c:numCache>
                <c:formatCode>General</c:formatCode>
                <c:ptCount val="18"/>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numCache>
            </c:numRef>
          </c:cat>
          <c:val>
            <c:numRef>
              <c:f>Scenario!$M$9:$AD$9</c:f>
              <c:numCache>
                <c:formatCode>_ * #,##0_ ;_ * \-#,##0_ ;_ * "-"??_ ;_ @_ </c:formatCode>
                <c:ptCount val="18"/>
                <c:pt idx="0">
                  <c:v>0</c:v>
                </c:pt>
                <c:pt idx="1">
                  <c:v>0</c:v>
                </c:pt>
                <c:pt idx="2">
                  <c:v>1609.146</c:v>
                </c:pt>
                <c:pt idx="3">
                  <c:v>1601.019</c:v>
                </c:pt>
                <c:pt idx="4">
                  <c:v>1592.8919999999998</c:v>
                </c:pt>
                <c:pt idx="5">
                  <c:v>1584.7649999999999</c:v>
                </c:pt>
                <c:pt idx="6">
                  <c:v>1576.6379999999999</c:v>
                </c:pt>
                <c:pt idx="7">
                  <c:v>1568.511</c:v>
                </c:pt>
                <c:pt idx="8">
                  <c:v>1560.3839999999998</c:v>
                </c:pt>
                <c:pt idx="9">
                  <c:v>1552.2569999999998</c:v>
                </c:pt>
                <c:pt idx="10">
                  <c:v>1544.1299999999999</c:v>
                </c:pt>
                <c:pt idx="11">
                  <c:v>1536.0029999999999</c:v>
                </c:pt>
                <c:pt idx="12">
                  <c:v>1527.8759999999997</c:v>
                </c:pt>
                <c:pt idx="13">
                  <c:v>1519.7489999999998</c:v>
                </c:pt>
                <c:pt idx="14">
                  <c:v>1511.6219999999998</c:v>
                </c:pt>
                <c:pt idx="15">
                  <c:v>1503.4949999999999</c:v>
                </c:pt>
                <c:pt idx="16">
                  <c:v>1495.3679999999997</c:v>
                </c:pt>
                <c:pt idx="17">
                  <c:v>1487.2409999999998</c:v>
                </c:pt>
              </c:numCache>
            </c:numRef>
          </c:val>
          <c:smooth val="0"/>
          <c:extLst>
            <c:ext xmlns:c16="http://schemas.microsoft.com/office/drawing/2014/chart" uri="{C3380CC4-5D6E-409C-BE32-E72D297353CC}">
              <c16:uniqueId val="{00000001-1B52-4D2D-83B3-04C25B3DB4BB}"/>
            </c:ext>
          </c:extLst>
        </c:ser>
        <c:dLbls>
          <c:showLegendKey val="0"/>
          <c:showVal val="0"/>
          <c:showCatName val="0"/>
          <c:showSerName val="0"/>
          <c:showPercent val="0"/>
          <c:showBubbleSize val="0"/>
        </c:dLbls>
        <c:smooth val="0"/>
        <c:axId val="660751903"/>
        <c:axId val="462468863"/>
        <c:extLst>
          <c:ext xmlns:c15="http://schemas.microsoft.com/office/drawing/2012/chart" uri="{02D57815-91ED-43cb-92C2-25804820EDAC}">
            <c15:filteredLineSeries>
              <c15:ser>
                <c:idx val="0"/>
                <c:order val="0"/>
                <c:tx>
                  <c:strRef>
                    <c:extLst>
                      <c:ext uri="{02D57815-91ED-43cb-92C2-25804820EDAC}">
                        <c15:formulaRef>
                          <c15:sqref>Scenario!$L$3</c15:sqref>
                        </c15:formulaRef>
                      </c:ext>
                    </c:extLst>
                    <c:strCache>
                      <c:ptCount val="1"/>
                      <c:pt idx="0">
                        <c:v> Huurcomponent warmtepomp </c:v>
                      </c:pt>
                    </c:strCache>
                  </c:strRef>
                </c:tx>
                <c:spPr>
                  <a:ln w="22225" cap="rnd">
                    <a:solidFill>
                      <a:schemeClr val="accent1"/>
                    </a:solidFill>
                  </a:ln>
                  <a:effectLst>
                    <a:glow rad="139700">
                      <a:schemeClr val="accent1">
                        <a:satMod val="175000"/>
                        <a:alpha val="14000"/>
                      </a:schemeClr>
                    </a:glow>
                  </a:effectLst>
                </c:spPr>
                <c:marker>
                  <c:symbol val="none"/>
                </c:marker>
                <c:cat>
                  <c:numRef>
                    <c:extLst>
                      <c:ext uri="{02D57815-91ED-43cb-92C2-25804820EDAC}">
                        <c15:formulaRef>
                          <c15:sqref>Scenario!$M$2:$AD$2</c15:sqref>
                        </c15:formulaRef>
                      </c:ext>
                    </c:extLst>
                    <c:numCache>
                      <c:formatCode>General</c:formatCode>
                      <c:ptCount val="18"/>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numCache>
                  </c:numRef>
                </c:cat>
                <c:val>
                  <c:numRef>
                    <c:extLst>
                      <c:ext uri="{02D57815-91ED-43cb-92C2-25804820EDAC}">
                        <c15:formulaRef>
                          <c15:sqref>Scenario!$M$3:$AD$3</c15:sqref>
                        </c15:formulaRef>
                      </c:ext>
                    </c:extLst>
                    <c:numCache>
                      <c:formatCode>_("€"* #,##0.00_);_("€"* \(#,##0.00\);_("€"* "-"??_);_(@_)</c:formatCode>
                      <c:ptCount val="18"/>
                      <c:pt idx="0">
                        <c:v>80</c:v>
                      </c:pt>
                      <c:pt idx="1">
                        <c:v>81.599999999999994</c:v>
                      </c:pt>
                      <c:pt idx="2">
                        <c:v>83.231999999999999</c:v>
                      </c:pt>
                      <c:pt idx="3">
                        <c:v>84.896639999999991</c:v>
                      </c:pt>
                      <c:pt idx="4">
                        <c:v>86.594572799999995</c:v>
                      </c:pt>
                      <c:pt idx="5">
                        <c:v>88.326464256000008</c:v>
                      </c:pt>
                      <c:pt idx="6">
                        <c:v>90.092993541120009</c:v>
                      </c:pt>
                      <c:pt idx="7">
                        <c:v>91.894853411942393</c:v>
                      </c:pt>
                      <c:pt idx="8">
                        <c:v>93.732750480181238</c:v>
                      </c:pt>
                      <c:pt idx="9">
                        <c:v>95.607405489784867</c:v>
                      </c:pt>
                      <c:pt idx="10">
                        <c:v>97.519553599580576</c:v>
                      </c:pt>
                      <c:pt idx="11">
                        <c:v>99.469944671572165</c:v>
                      </c:pt>
                      <c:pt idx="12">
                        <c:v>101.45934356500362</c:v>
                      </c:pt>
                      <c:pt idx="13">
                        <c:v>103.48853043630369</c:v>
                      </c:pt>
                      <c:pt idx="14">
                        <c:v>105.55830104502976</c:v>
                      </c:pt>
                      <c:pt idx="15">
                        <c:v>107.66946706593033</c:v>
                      </c:pt>
                      <c:pt idx="16">
                        <c:v>109.82285640724896</c:v>
                      </c:pt>
                      <c:pt idx="17">
                        <c:v>112.01931353539395</c:v>
                      </c:pt>
                    </c:numCache>
                  </c:numRef>
                </c:val>
                <c:smooth val="0"/>
                <c:extLst>
                  <c:ext xmlns:c16="http://schemas.microsoft.com/office/drawing/2014/chart" uri="{C3380CC4-5D6E-409C-BE32-E72D297353CC}">
                    <c16:uniqueId val="{00000000-5A34-4D4C-9BBA-1EC4D2648EA5}"/>
                  </c:ext>
                </c:extLst>
              </c15:ser>
            </c15:filteredLineSeries>
            <c15:filteredLineSeries>
              <c15:ser>
                <c:idx val="2"/>
                <c:order val="1"/>
                <c:tx>
                  <c:strRef>
                    <c:extLst xmlns:c15="http://schemas.microsoft.com/office/drawing/2012/chart">
                      <c:ext xmlns:c15="http://schemas.microsoft.com/office/drawing/2012/chart" uri="{02D57815-91ED-43cb-92C2-25804820EDAC}">
                        <c15:formulaRef>
                          <c15:sqref>Scenario!$L$4</c15:sqref>
                        </c15:formulaRef>
                      </c:ext>
                    </c:extLst>
                    <c:strCache>
                      <c:ptCount val="1"/>
                      <c:pt idx="0">
                        <c:v> Huurcomponent zonnepanelen </c:v>
                      </c:pt>
                    </c:strCache>
                  </c:strRef>
                </c:tx>
                <c:spPr>
                  <a:ln w="22225" cap="rnd">
                    <a:solidFill>
                      <a:schemeClr val="accent3"/>
                    </a:solidFill>
                  </a:ln>
                  <a:effectLst>
                    <a:glow rad="139700">
                      <a:schemeClr val="accent3">
                        <a:satMod val="175000"/>
                        <a:alpha val="14000"/>
                      </a:schemeClr>
                    </a:glow>
                  </a:effectLst>
                </c:spPr>
                <c:marker>
                  <c:symbol val="none"/>
                </c:marker>
                <c:cat>
                  <c:numRef>
                    <c:extLst xmlns:c15="http://schemas.microsoft.com/office/drawing/2012/chart">
                      <c:ext xmlns:c15="http://schemas.microsoft.com/office/drawing/2012/chart" uri="{02D57815-91ED-43cb-92C2-25804820EDAC}">
                        <c15:formulaRef>
                          <c15:sqref>Scenario!$M$2:$AD$2</c15:sqref>
                        </c15:formulaRef>
                      </c:ext>
                    </c:extLst>
                    <c:numCache>
                      <c:formatCode>General</c:formatCode>
                      <c:ptCount val="18"/>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numCache>
                  </c:numRef>
                </c:cat>
                <c:val>
                  <c:numRef>
                    <c:extLst xmlns:c15="http://schemas.microsoft.com/office/drawing/2012/chart">
                      <c:ext xmlns:c15="http://schemas.microsoft.com/office/drawing/2012/chart" uri="{02D57815-91ED-43cb-92C2-25804820EDAC}">
                        <c15:formulaRef>
                          <c15:sqref>Scenario!$M$4:$AD$4</c15:sqref>
                        </c15:formulaRef>
                      </c:ext>
                    </c:extLst>
                    <c:numCache>
                      <c:formatCode>_("€"* #,##0.00_);_("€"* \(#,##0.00\);_("€"* "-"??_);_(@_)</c:formatCode>
                      <c:ptCount val="18"/>
                      <c:pt idx="0">
                        <c:v>10.5</c:v>
                      </c:pt>
                      <c:pt idx="1">
                        <c:v>10.5</c:v>
                      </c:pt>
                      <c:pt idx="2">
                        <c:v>10.5</c:v>
                      </c:pt>
                      <c:pt idx="3">
                        <c:v>10.5</c:v>
                      </c:pt>
                      <c:pt idx="4">
                        <c:v>10.5</c:v>
                      </c:pt>
                      <c:pt idx="5">
                        <c:v>10.5</c:v>
                      </c:pt>
                      <c:pt idx="6">
                        <c:v>10.5</c:v>
                      </c:pt>
                      <c:pt idx="7">
                        <c:v>10.5</c:v>
                      </c:pt>
                      <c:pt idx="8">
                        <c:v>10.5</c:v>
                      </c:pt>
                      <c:pt idx="9">
                        <c:v>10.5</c:v>
                      </c:pt>
                      <c:pt idx="10">
                        <c:v>10.5</c:v>
                      </c:pt>
                      <c:pt idx="11">
                        <c:v>10.5</c:v>
                      </c:pt>
                      <c:pt idx="12">
                        <c:v>10.5</c:v>
                      </c:pt>
                      <c:pt idx="13">
                        <c:v>10.5</c:v>
                      </c:pt>
                      <c:pt idx="14">
                        <c:v>10.5</c:v>
                      </c:pt>
                      <c:pt idx="15">
                        <c:v>10.5</c:v>
                      </c:pt>
                      <c:pt idx="16">
                        <c:v>10.5</c:v>
                      </c:pt>
                      <c:pt idx="17">
                        <c:v>10.5</c:v>
                      </c:pt>
                    </c:numCache>
                  </c:numRef>
                </c:val>
                <c:smooth val="0"/>
                <c:extLst xmlns:c15="http://schemas.microsoft.com/office/drawing/2012/chart">
                  <c:ext xmlns:c16="http://schemas.microsoft.com/office/drawing/2014/chart" uri="{C3380CC4-5D6E-409C-BE32-E72D297353CC}">
                    <c16:uniqueId val="{00000002-5A34-4D4C-9BBA-1EC4D2648EA5}"/>
                  </c:ext>
                </c:extLst>
              </c15:ser>
            </c15:filteredLineSeries>
            <c15:filteredLineSeries>
              <c15:ser>
                <c:idx val="3"/>
                <c:order val="2"/>
                <c:tx>
                  <c:strRef>
                    <c:extLst xmlns:c15="http://schemas.microsoft.com/office/drawing/2012/chart">
                      <c:ext xmlns:c15="http://schemas.microsoft.com/office/drawing/2012/chart" uri="{02D57815-91ED-43cb-92C2-25804820EDAC}">
                        <c15:formulaRef>
                          <c15:sqref>Scenario!$L$5</c15:sqref>
                        </c15:formulaRef>
                      </c:ext>
                    </c:extLst>
                    <c:strCache>
                      <c:ptCount val="1"/>
                      <c:pt idx="0">
                        <c:v> Inkoop stroom (kWh) </c:v>
                      </c:pt>
                    </c:strCache>
                  </c:strRef>
                </c:tx>
                <c:spPr>
                  <a:ln w="22225" cap="rnd">
                    <a:solidFill>
                      <a:schemeClr val="accent4"/>
                    </a:solidFill>
                  </a:ln>
                  <a:effectLst>
                    <a:glow rad="139700">
                      <a:schemeClr val="accent4">
                        <a:satMod val="175000"/>
                        <a:alpha val="14000"/>
                      </a:schemeClr>
                    </a:glow>
                  </a:effectLst>
                </c:spPr>
                <c:marker>
                  <c:symbol val="none"/>
                </c:marker>
                <c:cat>
                  <c:numRef>
                    <c:extLst xmlns:c15="http://schemas.microsoft.com/office/drawing/2012/chart">
                      <c:ext xmlns:c15="http://schemas.microsoft.com/office/drawing/2012/chart" uri="{02D57815-91ED-43cb-92C2-25804820EDAC}">
                        <c15:formulaRef>
                          <c15:sqref>Scenario!$M$2:$AD$2</c15:sqref>
                        </c15:formulaRef>
                      </c:ext>
                    </c:extLst>
                    <c:numCache>
                      <c:formatCode>General</c:formatCode>
                      <c:ptCount val="18"/>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numCache>
                  </c:numRef>
                </c:cat>
                <c:val>
                  <c:numRef>
                    <c:extLst xmlns:c15="http://schemas.microsoft.com/office/drawing/2012/chart">
                      <c:ext xmlns:c15="http://schemas.microsoft.com/office/drawing/2012/chart" uri="{02D57815-91ED-43cb-92C2-25804820EDAC}">
                        <c15:formulaRef>
                          <c15:sqref>Scenario!$M$5:$AD$5</c15:sqref>
                        </c15:formulaRef>
                      </c:ext>
                    </c:extLst>
                    <c:numCache>
                      <c:formatCode>_ * #,##0_ ;_ * \-#,##0_ ;_ * "-"??_ ;_ @_ </c:formatCode>
                      <c:ptCount val="18"/>
                      <c:pt idx="0">
                        <c:v>5446.2571428571428</c:v>
                      </c:pt>
                      <c:pt idx="1">
                        <c:v>5449.7401428571429</c:v>
                      </c:pt>
                      <c:pt idx="2">
                        <c:v>5453.2231428571431</c:v>
                      </c:pt>
                      <c:pt idx="3">
                        <c:v>5456.7061428571433</c:v>
                      </c:pt>
                      <c:pt idx="4">
                        <c:v>5460.1891428571435</c:v>
                      </c:pt>
                      <c:pt idx="5">
                        <c:v>5463.6721428571436</c:v>
                      </c:pt>
                      <c:pt idx="6">
                        <c:v>5467.1551428571429</c:v>
                      </c:pt>
                      <c:pt idx="7">
                        <c:v>5470.6381428571431</c:v>
                      </c:pt>
                      <c:pt idx="8">
                        <c:v>5474.1211428571432</c:v>
                      </c:pt>
                      <c:pt idx="9">
                        <c:v>5477.6041428571434</c:v>
                      </c:pt>
                      <c:pt idx="10">
                        <c:v>5481.0871428571427</c:v>
                      </c:pt>
                      <c:pt idx="11">
                        <c:v>5484.5701428571429</c:v>
                      </c:pt>
                      <c:pt idx="12">
                        <c:v>5488.053142857143</c:v>
                      </c:pt>
                      <c:pt idx="13">
                        <c:v>5491.5361428571432</c:v>
                      </c:pt>
                      <c:pt idx="14">
                        <c:v>5495.0191428571434</c:v>
                      </c:pt>
                      <c:pt idx="15">
                        <c:v>5498.5021428571436</c:v>
                      </c:pt>
                      <c:pt idx="16">
                        <c:v>5501.9851428571428</c:v>
                      </c:pt>
                      <c:pt idx="17">
                        <c:v>5505.468142857143</c:v>
                      </c:pt>
                    </c:numCache>
                  </c:numRef>
                </c:val>
                <c:smooth val="0"/>
                <c:extLst xmlns:c15="http://schemas.microsoft.com/office/drawing/2012/chart">
                  <c:ext xmlns:c16="http://schemas.microsoft.com/office/drawing/2014/chart" uri="{C3380CC4-5D6E-409C-BE32-E72D297353CC}">
                    <c16:uniqueId val="{00000003-5A34-4D4C-9BBA-1EC4D2648EA5}"/>
                  </c:ext>
                </c:extLst>
              </c15:ser>
            </c15:filteredLineSeries>
            <c15:filteredLineSeries>
              <c15:ser>
                <c:idx val="5"/>
                <c:order val="4"/>
                <c:tx>
                  <c:strRef>
                    <c:extLst xmlns:c15="http://schemas.microsoft.com/office/drawing/2012/chart">
                      <c:ext xmlns:c15="http://schemas.microsoft.com/office/drawing/2012/chart" uri="{02D57815-91ED-43cb-92C2-25804820EDAC}">
                        <c15:formulaRef>
                          <c15:sqref>Scenario!$L$7</c15:sqref>
                        </c15:formulaRef>
                      </c:ext>
                    </c:extLst>
                    <c:strCache>
                      <c:ptCount val="1"/>
                      <c:pt idx="0">
                        <c:v> Saldering (kWh) </c:v>
                      </c:pt>
                    </c:strCache>
                  </c:strRef>
                </c:tx>
                <c:spPr>
                  <a:ln w="22225" cap="rnd">
                    <a:solidFill>
                      <a:schemeClr val="accent6"/>
                    </a:solidFill>
                  </a:ln>
                  <a:effectLst>
                    <a:glow rad="139700">
                      <a:schemeClr val="accent6">
                        <a:satMod val="175000"/>
                        <a:alpha val="14000"/>
                      </a:schemeClr>
                    </a:glow>
                  </a:effectLst>
                </c:spPr>
                <c:marker>
                  <c:symbol val="none"/>
                </c:marker>
                <c:cat>
                  <c:numRef>
                    <c:extLst xmlns:c15="http://schemas.microsoft.com/office/drawing/2012/chart">
                      <c:ext xmlns:c15="http://schemas.microsoft.com/office/drawing/2012/chart" uri="{02D57815-91ED-43cb-92C2-25804820EDAC}">
                        <c15:formulaRef>
                          <c15:sqref>Scenario!$M$2:$AD$2</c15:sqref>
                        </c15:formulaRef>
                      </c:ext>
                    </c:extLst>
                    <c:numCache>
                      <c:formatCode>General</c:formatCode>
                      <c:ptCount val="18"/>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numCache>
                  </c:numRef>
                </c:cat>
                <c:val>
                  <c:numRef>
                    <c:extLst xmlns:c15="http://schemas.microsoft.com/office/drawing/2012/chart">
                      <c:ext xmlns:c15="http://schemas.microsoft.com/office/drawing/2012/chart" uri="{02D57815-91ED-43cb-92C2-25804820EDAC}">
                        <c15:formulaRef>
                          <c15:sqref>Scenario!$M$7:$AD$7</c15:sqref>
                        </c15:formulaRef>
                      </c:ext>
                    </c:extLst>
                    <c:numCache>
                      <c:formatCode>_ * #,##0_ ;_ * \-#,##0_ ;_ * "-"??_ ;_ @_ </c:formatCode>
                      <c:ptCount val="18"/>
                      <c:pt idx="0">
                        <c:v>1625.3999999999999</c:v>
                      </c:pt>
                      <c:pt idx="1">
                        <c:v>1617.2729999999999</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smooth val="0"/>
                <c:extLst xmlns:c15="http://schemas.microsoft.com/office/drawing/2012/chart">
                  <c:ext xmlns:c16="http://schemas.microsoft.com/office/drawing/2014/chart" uri="{C3380CC4-5D6E-409C-BE32-E72D297353CC}">
                    <c16:uniqueId val="{00000005-5A34-4D4C-9BBA-1EC4D2648EA5}"/>
                  </c:ext>
                </c:extLst>
              </c15:ser>
            </c15:filteredLineSeries>
          </c:ext>
        </c:extLst>
      </c:lineChart>
      <c:catAx>
        <c:axId val="660751903"/>
        <c:scaling>
          <c:orientation val="minMax"/>
        </c:scaling>
        <c:delete val="0"/>
        <c:axPos val="b"/>
        <c:majorGridlines>
          <c:spPr>
            <a:ln w="9525" cap="flat" cmpd="sng" algn="ctr">
              <a:gradFill>
                <a:gsLst>
                  <a:gs pos="100000">
                    <a:schemeClr val="dk1">
                      <a:lumMod val="75000"/>
                      <a:lumOff val="25000"/>
                    </a:schemeClr>
                  </a:gs>
                  <a:gs pos="0">
                    <a:schemeClr val="dk1">
                      <a:lumMod val="65000"/>
                      <a:lumOff val="35000"/>
                    </a:schemeClr>
                  </a:gs>
                </a:gsLst>
                <a:lin ang="54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nl-NL"/>
          </a:p>
        </c:txPr>
        <c:crossAx val="462468863"/>
        <c:crosses val="autoZero"/>
        <c:auto val="1"/>
        <c:lblAlgn val="ctr"/>
        <c:lblOffset val="100"/>
        <c:noMultiLvlLbl val="0"/>
      </c:catAx>
      <c:valAx>
        <c:axId val="462468863"/>
        <c:scaling>
          <c:orientation val="minMax"/>
        </c:scaling>
        <c:delete val="0"/>
        <c:axPos val="l"/>
        <c:majorGridlines>
          <c:spPr>
            <a:ln w="9525" cap="flat" cmpd="sng" algn="ctr">
              <a:gradFill>
                <a:gsLst>
                  <a:gs pos="100000">
                    <a:schemeClr val="dk1">
                      <a:lumMod val="75000"/>
                      <a:lumOff val="25000"/>
                    </a:schemeClr>
                  </a:gs>
                  <a:gs pos="0">
                    <a:schemeClr val="dk1">
                      <a:lumMod val="65000"/>
                      <a:lumOff val="35000"/>
                    </a:schemeClr>
                  </a:gs>
                </a:gsLst>
                <a:lin ang="5400000" scaled="0"/>
              </a:gra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nl-NL"/>
          </a:p>
        </c:txPr>
        <c:crossAx val="660751903"/>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nl-NL"/>
        </a:p>
      </c:txPr>
    </c:legend>
    <c:plotVisOnly val="1"/>
    <c:dispBlanksAs val="gap"/>
    <c:showDLblsOverMax val="0"/>
  </c:chart>
  <c:spPr>
    <a:solidFill>
      <a:schemeClr val="dk1">
        <a:lumMod val="75000"/>
        <a:lumOff val="25000"/>
      </a:schemeClr>
    </a:solidFill>
    <a:ln w="9525" cap="flat" cmpd="sng" algn="ctr">
      <a:solidFill>
        <a:schemeClr val="dk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r>
              <a:rPr lang="en-US"/>
              <a:t>Kosten</a:t>
            </a:r>
          </a:p>
        </c:rich>
      </c:tx>
      <c:overlay val="0"/>
      <c:spPr>
        <a:noFill/>
        <a:ln>
          <a:noFill/>
        </a:ln>
        <a:effectLst/>
      </c:spPr>
      <c:txPr>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endParaRPr lang="nl-NL"/>
        </a:p>
      </c:txPr>
    </c:title>
    <c:autoTitleDeleted val="0"/>
    <c:plotArea>
      <c:layout/>
      <c:lineChart>
        <c:grouping val="standard"/>
        <c:varyColors val="0"/>
        <c:ser>
          <c:idx val="1"/>
          <c:order val="0"/>
          <c:tx>
            <c:strRef>
              <c:f>Scenario!$H$2</c:f>
              <c:strCache>
                <c:ptCount val="1"/>
                <c:pt idx="0">
                  <c:v>Totaal</c:v>
                </c:pt>
              </c:strCache>
            </c:strRef>
          </c:tx>
          <c:spPr>
            <a:ln w="22225" cap="rnd">
              <a:solidFill>
                <a:schemeClr val="accent2"/>
              </a:solidFill>
            </a:ln>
            <a:effectLst>
              <a:glow rad="139700">
                <a:schemeClr val="accent2">
                  <a:satMod val="175000"/>
                  <a:alpha val="14000"/>
                </a:schemeClr>
              </a:glow>
            </a:effectLst>
          </c:spPr>
          <c:marker>
            <c:symbol val="none"/>
          </c:marker>
          <c:cat>
            <c:numRef>
              <c:f>Scenario!$F$4:$F$20</c:f>
              <c:numCache>
                <c:formatCode>General</c:formatCode>
                <c:ptCount val="17"/>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numCache>
            </c:numRef>
          </c:cat>
          <c:val>
            <c:numRef>
              <c:f>Scenario!$H$4:$H$20</c:f>
              <c:numCache>
                <c:formatCode>_("€"* #,##0.00_);_("€"* \(#,##0.00\);_("€"* "-"??_);_(@_)</c:formatCode>
                <c:ptCount val="17"/>
                <c:pt idx="0">
                  <c:v>172.823007655</c:v>
                </c:pt>
                <c:pt idx="1">
                  <c:v>190.13420598300002</c:v>
                </c:pt>
                <c:pt idx="2">
                  <c:v>193.91375291334006</c:v>
                </c:pt>
                <c:pt idx="3">
                  <c:v>197.77262803850044</c:v>
                </c:pt>
                <c:pt idx="4">
                  <c:v>201.712492667502</c:v>
                </c:pt>
                <c:pt idx="5">
                  <c:v>205.73504283044804</c:v>
                </c:pt>
                <c:pt idx="6">
                  <c:v>209.84201000284506</c:v>
                </c:pt>
                <c:pt idx="7">
                  <c:v>214.03516184500572</c:v>
                </c:pt>
                <c:pt idx="8">
                  <c:v>218.31630295685173</c:v>
                </c:pt>
                <c:pt idx="9">
                  <c:v>222.68727564843357</c:v>
                </c:pt>
                <c:pt idx="10">
                  <c:v>227.14996072649583</c:v>
                </c:pt>
                <c:pt idx="11">
                  <c:v>231.70627829742133</c:v>
                </c:pt>
                <c:pt idx="12">
                  <c:v>236.35818858689322</c:v>
                </c:pt>
                <c:pt idx="13">
                  <c:v>241.10769277662499</c:v>
                </c:pt>
                <c:pt idx="14">
                  <c:v>245.95683385851135</c:v>
                </c:pt>
                <c:pt idx="15">
                  <c:v>250.90769750656241</c:v>
                </c:pt>
                <c:pt idx="16">
                  <c:v>255.96241296699225</c:v>
                </c:pt>
              </c:numCache>
            </c:numRef>
          </c:val>
          <c:smooth val="0"/>
          <c:extLst>
            <c:ext xmlns:c16="http://schemas.microsoft.com/office/drawing/2014/chart" uri="{C3380CC4-5D6E-409C-BE32-E72D297353CC}">
              <c16:uniqueId val="{00000001-CD8F-4982-8C1E-335C2A567ECC}"/>
            </c:ext>
          </c:extLst>
        </c:ser>
        <c:ser>
          <c:idx val="2"/>
          <c:order val="1"/>
          <c:tx>
            <c:strRef>
              <c:f>Scenario!$I$2</c:f>
              <c:strCache>
                <c:ptCount val="1"/>
                <c:pt idx="0">
                  <c:v>Energielasten</c:v>
                </c:pt>
              </c:strCache>
            </c:strRef>
          </c:tx>
          <c:spPr>
            <a:ln w="22225" cap="rnd">
              <a:solidFill>
                <a:schemeClr val="accent3"/>
              </a:solidFill>
            </a:ln>
            <a:effectLst>
              <a:glow rad="139700">
                <a:schemeClr val="accent3">
                  <a:satMod val="175000"/>
                  <a:alpha val="14000"/>
                </a:schemeClr>
              </a:glow>
            </a:effectLst>
          </c:spPr>
          <c:marker>
            <c:symbol val="none"/>
          </c:marker>
          <c:cat>
            <c:numRef>
              <c:f>Scenario!$F$4:$F$20</c:f>
              <c:numCache>
                <c:formatCode>General</c:formatCode>
                <c:ptCount val="17"/>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numCache>
            </c:numRef>
          </c:cat>
          <c:val>
            <c:numRef>
              <c:f>Scenario!$I$4:$I$20</c:f>
              <c:numCache>
                <c:formatCode>_("€"* #,##0.00_);_("€"* \(#,##0.00\);_("€"* "-"??_);_(@_)</c:formatCode>
                <c:ptCount val="17"/>
                <c:pt idx="0">
                  <c:v>80.723007655000004</c:v>
                </c:pt>
                <c:pt idx="1">
                  <c:v>96.402205983000016</c:v>
                </c:pt>
                <c:pt idx="2">
                  <c:v>98.517112913340071</c:v>
                </c:pt>
                <c:pt idx="3">
                  <c:v>100.67805523850045</c:v>
                </c:pt>
                <c:pt idx="4">
                  <c:v>102.886028411502</c:v>
                </c:pt>
                <c:pt idx="5">
                  <c:v>105.14204928932803</c:v>
                </c:pt>
                <c:pt idx="6">
                  <c:v>107.44715659090267</c:v>
                </c:pt>
                <c:pt idx="7">
                  <c:v>109.80241136482448</c:v>
                </c:pt>
                <c:pt idx="8">
                  <c:v>112.20889746706686</c:v>
                </c:pt>
                <c:pt idx="9">
                  <c:v>114.66772204885299</c:v>
                </c:pt>
                <c:pt idx="10">
                  <c:v>117.18001605492367</c:v>
                </c:pt>
                <c:pt idx="11">
                  <c:v>119.74693473241771</c:v>
                </c:pt>
                <c:pt idx="12">
                  <c:v>122.36965815058953</c:v>
                </c:pt>
                <c:pt idx="13">
                  <c:v>125.04939173159522</c:v>
                </c:pt>
                <c:pt idx="14">
                  <c:v>127.78736679258101</c:v>
                </c:pt>
                <c:pt idx="15">
                  <c:v>130.58484109931345</c:v>
                </c:pt>
                <c:pt idx="16">
                  <c:v>133.44309943159828</c:v>
                </c:pt>
              </c:numCache>
            </c:numRef>
          </c:val>
          <c:smooth val="0"/>
          <c:extLst>
            <c:ext xmlns:c16="http://schemas.microsoft.com/office/drawing/2014/chart" uri="{C3380CC4-5D6E-409C-BE32-E72D297353CC}">
              <c16:uniqueId val="{00000002-CD8F-4982-8C1E-335C2A567ECC}"/>
            </c:ext>
          </c:extLst>
        </c:ser>
        <c:ser>
          <c:idx val="3"/>
          <c:order val="2"/>
          <c:tx>
            <c:strRef>
              <c:f>Scenario!$J$2</c:f>
              <c:strCache>
                <c:ptCount val="1"/>
                <c:pt idx="0">
                  <c:v>Huur</c:v>
                </c:pt>
              </c:strCache>
            </c:strRef>
          </c:tx>
          <c:spPr>
            <a:ln w="22225" cap="rnd">
              <a:solidFill>
                <a:schemeClr val="accent4"/>
              </a:solidFill>
            </a:ln>
            <a:effectLst>
              <a:glow rad="139700">
                <a:schemeClr val="accent4">
                  <a:satMod val="175000"/>
                  <a:alpha val="14000"/>
                </a:schemeClr>
              </a:glow>
            </a:effectLst>
          </c:spPr>
          <c:marker>
            <c:symbol val="none"/>
          </c:marker>
          <c:cat>
            <c:numRef>
              <c:f>Scenario!$F$4:$F$20</c:f>
              <c:numCache>
                <c:formatCode>General</c:formatCode>
                <c:ptCount val="17"/>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numCache>
            </c:numRef>
          </c:cat>
          <c:val>
            <c:numRef>
              <c:f>Scenario!$J$4:$J$20</c:f>
              <c:numCache>
                <c:formatCode>_("€"* #,##0.00_);_("€"* \(#,##0.00\);_("€"* "-"??_);_(@_)</c:formatCode>
                <c:ptCount val="17"/>
                <c:pt idx="0">
                  <c:v>92.1</c:v>
                </c:pt>
                <c:pt idx="1">
                  <c:v>93.731999999999999</c:v>
                </c:pt>
                <c:pt idx="2">
                  <c:v>95.396639999999991</c:v>
                </c:pt>
                <c:pt idx="3">
                  <c:v>97.094572799999995</c:v>
                </c:pt>
                <c:pt idx="4">
                  <c:v>98.826464256000008</c:v>
                </c:pt>
                <c:pt idx="5">
                  <c:v>100.59299354112001</c:v>
                </c:pt>
                <c:pt idx="6">
                  <c:v>102.39485341194239</c:v>
                </c:pt>
                <c:pt idx="7">
                  <c:v>104.23275048018124</c:v>
                </c:pt>
                <c:pt idx="8">
                  <c:v>106.10740548978487</c:v>
                </c:pt>
                <c:pt idx="9">
                  <c:v>108.01955359958058</c:v>
                </c:pt>
                <c:pt idx="10">
                  <c:v>109.96994467157216</c:v>
                </c:pt>
                <c:pt idx="11">
                  <c:v>111.95934356500362</c:v>
                </c:pt>
                <c:pt idx="12">
                  <c:v>113.98853043630369</c:v>
                </c:pt>
                <c:pt idx="13">
                  <c:v>116.05830104502976</c:v>
                </c:pt>
                <c:pt idx="14">
                  <c:v>118.16946706593033</c:v>
                </c:pt>
                <c:pt idx="15">
                  <c:v>120.32285640724896</c:v>
                </c:pt>
                <c:pt idx="16">
                  <c:v>122.51931353539395</c:v>
                </c:pt>
              </c:numCache>
            </c:numRef>
          </c:val>
          <c:smooth val="0"/>
          <c:extLst>
            <c:ext xmlns:c16="http://schemas.microsoft.com/office/drawing/2014/chart" uri="{C3380CC4-5D6E-409C-BE32-E72D297353CC}">
              <c16:uniqueId val="{00000003-CD8F-4982-8C1E-335C2A567ECC}"/>
            </c:ext>
          </c:extLst>
        </c:ser>
        <c:ser>
          <c:idx val="4"/>
          <c:order val="3"/>
          <c:tx>
            <c:strRef>
              <c:f>Scenario!$K$2</c:f>
              <c:strCache>
                <c:ptCount val="1"/>
                <c:pt idx="0">
                  <c:v>Huidige situatie gas</c:v>
                </c:pt>
              </c:strCache>
            </c:strRef>
          </c:tx>
          <c:spPr>
            <a:ln w="22225" cap="rnd">
              <a:solidFill>
                <a:schemeClr val="accent5"/>
              </a:solidFill>
            </a:ln>
            <a:effectLst>
              <a:glow rad="139700">
                <a:schemeClr val="accent5">
                  <a:satMod val="175000"/>
                  <a:alpha val="14000"/>
                </a:schemeClr>
              </a:glow>
            </a:effectLst>
          </c:spPr>
          <c:marker>
            <c:symbol val="none"/>
          </c:marker>
          <c:cat>
            <c:numRef>
              <c:f>Scenario!$F$4:$F$20</c:f>
              <c:numCache>
                <c:formatCode>General</c:formatCode>
                <c:ptCount val="17"/>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numCache>
            </c:numRef>
          </c:cat>
          <c:val>
            <c:numRef>
              <c:f>Scenario!$K$4:$K$20</c:f>
              <c:numCache>
                <c:formatCode>_("€"* #,##0.00_);_("€"* \(#,##0.00\);_("€"* "-"??_);_(@_)</c:formatCode>
                <c:ptCount val="17"/>
                <c:pt idx="0">
                  <c:v>201.12154741666669</c:v>
                </c:pt>
                <c:pt idx="1">
                  <c:v>206.66274340666664</c:v>
                </c:pt>
                <c:pt idx="2">
                  <c:v>212.36032626771669</c:v>
                </c:pt>
                <c:pt idx="3">
                  <c:v>218.2187906257752</c:v>
                </c:pt>
                <c:pt idx="4">
                  <c:v>224.24276200597603</c:v>
                </c:pt>
                <c:pt idx="5">
                  <c:v>230.43700068081139</c:v>
                </c:pt>
                <c:pt idx="6">
                  <c:v>236.80640563218495</c:v>
                </c:pt>
                <c:pt idx="7">
                  <c:v>243.35601863071864</c:v>
                </c:pt>
                <c:pt idx="8">
                  <c:v>250.09102843579981</c:v>
                </c:pt>
                <c:pt idx="9">
                  <c:v>257.01677511995655</c:v>
                </c:pt>
                <c:pt idx="10">
                  <c:v>264.13875452125967</c:v>
                </c:pt>
                <c:pt idx="11">
                  <c:v>271.462622827556</c:v>
                </c:pt>
                <c:pt idx="12">
                  <c:v>278.99420129645432</c:v>
                </c:pt>
                <c:pt idx="13">
                  <c:v>286.739481115101</c:v>
                </c:pt>
                <c:pt idx="14">
                  <c:v>294.70462840390223</c:v>
                </c:pt>
                <c:pt idx="15">
                  <c:v>302.89598936847443</c:v>
                </c:pt>
                <c:pt idx="16">
                  <c:v>311.32009560423296</c:v>
                </c:pt>
              </c:numCache>
            </c:numRef>
          </c:val>
          <c:smooth val="0"/>
          <c:extLst>
            <c:ext xmlns:c16="http://schemas.microsoft.com/office/drawing/2014/chart" uri="{C3380CC4-5D6E-409C-BE32-E72D297353CC}">
              <c16:uniqueId val="{00000004-CD8F-4982-8C1E-335C2A567ECC}"/>
            </c:ext>
          </c:extLst>
        </c:ser>
        <c:dLbls>
          <c:showLegendKey val="0"/>
          <c:showVal val="0"/>
          <c:showCatName val="0"/>
          <c:showSerName val="0"/>
          <c:showPercent val="0"/>
          <c:showBubbleSize val="0"/>
        </c:dLbls>
        <c:smooth val="0"/>
        <c:axId val="1430154671"/>
        <c:axId val="1430157071"/>
      </c:lineChart>
      <c:catAx>
        <c:axId val="1430154671"/>
        <c:scaling>
          <c:orientation val="minMax"/>
        </c:scaling>
        <c:delete val="0"/>
        <c:axPos val="b"/>
        <c:majorGridlines>
          <c:spPr>
            <a:ln w="9525" cap="flat" cmpd="sng" algn="ctr">
              <a:gradFill>
                <a:gsLst>
                  <a:gs pos="100000">
                    <a:schemeClr val="dk1">
                      <a:lumMod val="75000"/>
                      <a:lumOff val="25000"/>
                    </a:schemeClr>
                  </a:gs>
                  <a:gs pos="0">
                    <a:schemeClr val="dk1">
                      <a:lumMod val="65000"/>
                      <a:lumOff val="35000"/>
                    </a:schemeClr>
                  </a:gs>
                </a:gsLst>
                <a:lin ang="54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nl-NL"/>
          </a:p>
        </c:txPr>
        <c:crossAx val="1430157071"/>
        <c:crosses val="autoZero"/>
        <c:auto val="1"/>
        <c:lblAlgn val="ctr"/>
        <c:lblOffset val="100"/>
        <c:noMultiLvlLbl val="0"/>
      </c:catAx>
      <c:valAx>
        <c:axId val="1430157071"/>
        <c:scaling>
          <c:orientation val="minMax"/>
        </c:scaling>
        <c:delete val="0"/>
        <c:axPos val="l"/>
        <c:majorGridlines>
          <c:spPr>
            <a:ln w="9525" cap="flat" cmpd="sng" algn="ctr">
              <a:gradFill>
                <a:gsLst>
                  <a:gs pos="100000">
                    <a:schemeClr val="dk1">
                      <a:lumMod val="75000"/>
                      <a:lumOff val="25000"/>
                    </a:schemeClr>
                  </a:gs>
                  <a:gs pos="0">
                    <a:schemeClr val="dk1">
                      <a:lumMod val="65000"/>
                      <a:lumOff val="35000"/>
                    </a:schemeClr>
                  </a:gs>
                </a:gsLst>
                <a:lin ang="5400000" scaled="0"/>
              </a:gra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nl-NL"/>
          </a:p>
        </c:txPr>
        <c:crossAx val="1430154671"/>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nl-NL"/>
        </a:p>
      </c:txPr>
    </c:legend>
    <c:plotVisOnly val="1"/>
    <c:dispBlanksAs val="gap"/>
    <c:showDLblsOverMax val="0"/>
  </c:chart>
  <c:spPr>
    <a:solidFill>
      <a:schemeClr val="dk1">
        <a:lumMod val="75000"/>
        <a:lumOff val="25000"/>
      </a:schemeClr>
    </a:solidFill>
    <a:ln w="9525" cap="flat" cmpd="sng" algn="ctr">
      <a:solidFill>
        <a:schemeClr val="dk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36">
  <cs:axisTitle>
    <cs:lnRef idx="0"/>
    <cs:fillRef idx="0"/>
    <cs:effectRef idx="0"/>
    <cs:fontRef idx="minor">
      <a:schemeClr val="lt1">
        <a:lumMod val="75000"/>
      </a:schemeClr>
    </cs:fontRef>
    <cs:defRPr sz="900" b="1" kern="1200"/>
  </cs:axisTitle>
  <cs:categoryAxis>
    <cs:lnRef idx="0"/>
    <cs:fillRef idx="0"/>
    <cs:effectRef idx="0"/>
    <cs:fontRef idx="minor">
      <a:schemeClr val="lt1">
        <a:lumMod val="75000"/>
      </a:schemeClr>
    </cs:fontRef>
    <cs:defRPr sz="900" kern="1200"/>
  </cs:categoryAxis>
  <cs:chartArea>
    <cs:lnRef idx="0"/>
    <cs:fillRef idx="0"/>
    <cs:effectRef idx="0"/>
    <cs:fontRef idx="minor">
      <a:schemeClr val="dk1"/>
    </cs:fontRef>
    <cs:spPr>
      <a:solidFill>
        <a:schemeClr val="dk1">
          <a:lumMod val="75000"/>
          <a:lumOff val="25000"/>
        </a:schemeClr>
      </a:solidFill>
      <a:ln w="9525" cap="flat" cmpd="sng" algn="ctr">
        <a:solidFill>
          <a:schemeClr val="dk1">
            <a:lumMod val="15000"/>
            <a:lumOff val="85000"/>
          </a:schemeClr>
        </a:solidFill>
        <a:round/>
      </a:ln>
    </cs:spPr>
    <cs:defRPr sz="900" kern="1200"/>
  </cs:chartArea>
  <cs:dataLabel>
    <cs:lnRef idx="0"/>
    <cs:fillRef idx="0"/>
    <cs:effectRef idx="0"/>
    <cs:fontRef idx="minor">
      <a:schemeClr val="lt1">
        <a:lumMod val="75000"/>
      </a:schemeClr>
    </cs:fontRef>
    <cs:defRPr sz="900" kern="1200"/>
  </cs:dataLabel>
  <cs:dataLabelCallout>
    <cs:lnRef idx="0"/>
    <cs:fillRef idx="0"/>
    <cs:effectRef idx="0"/>
    <cs:fontRef idx="minor">
      <a:schemeClr val="lt1">
        <a:lumMod val="15000"/>
        <a:lumOff val="85000"/>
      </a:schemeClr>
    </cs:fontRef>
    <cs:spPr>
      <a:solidFill>
        <a:schemeClr val="dk1">
          <a:lumMod val="65000"/>
          <a:lumOff val="35000"/>
        </a:schemeClr>
      </a:solidFill>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
  <cs:dataPoint3D>
    <cs:lnRef idx="0">
      <cs:styleClr val="auto"/>
    </cs:lnRef>
    <cs:fillRef idx="0">
      <cs:styleClr val="auto"/>
    </cs:fillRef>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3D>
  <cs:dataPointLine>
    <cs:lnRef idx="0">
      <cs:styleClr val="auto"/>
    </cs:lnRef>
    <cs:fillRef idx="0">
      <cs:styleClr val="auto"/>
    </cs:fillRef>
    <cs:effectRef idx="0">
      <cs:styleClr val="auto"/>
    </cs:effectRef>
    <cs:fontRef idx="minor">
      <a:schemeClr val="dk1"/>
    </cs:fontRef>
    <cs:spPr>
      <a:ln w="22225" cap="rnd">
        <a:solidFill>
          <a:schemeClr val="phClr"/>
        </a:solidFill>
      </a:ln>
      <a:effectLst>
        <a:glow rad="139700">
          <a:schemeClr val="phClr">
            <a:satMod val="175000"/>
            <a:alpha val="14000"/>
          </a:schemeClr>
        </a:glow>
      </a:effectLst>
    </cs:spPr>
  </cs:dataPointLine>
  <cs:dataPointMarker>
    <cs:lnRef idx="0">
      <cs:styleClr val="auto"/>
    </cs:lnRef>
    <cs:fillRef idx="0">
      <cs:styleClr val="auto"/>
    </cs:fillRef>
    <cs:effectRef idx="0">
      <cs:styleClr val="auto"/>
    </cs:effectRef>
    <cs:fontRef idx="minor">
      <a:schemeClr val="dk1"/>
    </cs:fontRef>
    <cs:spPr>
      <a:solidFill>
        <a:schemeClr val="phClr">
          <a:lumMod val="60000"/>
          <a:lumOff val="40000"/>
        </a:schemeClr>
      </a:solidFill>
      <a:effectLst>
        <a:glow rad="63500">
          <a:schemeClr val="phClr">
            <a:satMod val="175000"/>
            <a:alpha val="25000"/>
          </a:schemeClr>
        </a:glow>
      </a:effectLst>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lt1">
        <a:lumMod val="75000"/>
      </a:schemeClr>
    </cs:fontRef>
    <cs:spPr>
      <a:ln w="9525">
        <a:solidFill>
          <a:schemeClr val="dk1">
            <a:lumMod val="50000"/>
            <a:lumOff val="50000"/>
          </a:schemeClr>
        </a:solidFill>
      </a:ln>
    </cs:spPr>
    <cs:defRPr sz="900" kern="1200"/>
  </cs:dataTable>
  <cs:downBar>
    <cs:lnRef idx="0"/>
    <cs:fillRef idx="0"/>
    <cs:effectRef idx="0"/>
    <cs:fontRef idx="minor">
      <a:schemeClr val="lt1"/>
    </cs:fontRef>
    <cs:spPr>
      <a:solidFill>
        <a:schemeClr val="dk1">
          <a:lumMod val="50000"/>
          <a:lumOff val="50000"/>
        </a:schemeClr>
      </a:solidFill>
      <a:ln w="9525">
        <a:solidFill>
          <a:schemeClr val="dk1">
            <a:lumMod val="75000"/>
          </a:schemeClr>
        </a:solidFill>
        <a:round/>
      </a:ln>
    </cs:spPr>
  </cs:downBar>
  <cs:dropLine>
    <cs:lnRef idx="0"/>
    <cs:fillRef idx="0"/>
    <cs:effectRef idx="0"/>
    <cs:fontRef idx="minor">
      <a:schemeClr val="dk1"/>
    </cs:fontRef>
    <cs:spPr>
      <a:ln w="9525">
        <a:solidFill>
          <a:schemeClr val="lt1">
            <a:lumMod val="50000"/>
          </a:schemeClr>
        </a:solidFill>
        <a:round/>
      </a:ln>
    </cs:spPr>
  </cs:dropLine>
  <cs:errorBar>
    <cs:lnRef idx="0"/>
    <cs:fillRef idx="0"/>
    <cs:effectRef idx="0"/>
    <cs:fontRef idx="minor">
      <a:schemeClr val="dk1"/>
    </cs:fontRef>
    <cs:spPr>
      <a:ln w="9525">
        <a:solidFill>
          <a:schemeClr val="lt1">
            <a:lumMod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75000"/>
                <a:lumOff val="25000"/>
              </a:schemeClr>
            </a:gs>
            <a:gs pos="0">
              <a:schemeClr val="dk1">
                <a:lumMod val="65000"/>
                <a:lumOff val="35000"/>
              </a:schemeClr>
            </a:gs>
          </a:gsLst>
          <a:lin ang="5400000" scaled="0"/>
        </a:gradFill>
        <a:round/>
      </a:ln>
    </cs:spPr>
  </cs:gridlineMajor>
  <cs:gridlineMinor>
    <cs:lnRef idx="0"/>
    <cs:fillRef idx="0"/>
    <cs:effectRef idx="0"/>
    <cs:fontRef idx="minor">
      <a:schemeClr val="dk1"/>
    </cs:fontRef>
    <cs:spPr>
      <a:ln w="9525" cap="flat" cmpd="sng" algn="ctr">
        <a:gradFill>
          <a:gsLst>
            <a:gs pos="100000">
              <a:schemeClr val="dk1">
                <a:lumMod val="75000"/>
                <a:lumOff val="25000"/>
                <a:alpha val="25000"/>
              </a:schemeClr>
            </a:gs>
            <a:gs pos="0">
              <a:schemeClr val="dk1">
                <a:lumMod val="65000"/>
                <a:lumOff val="35000"/>
                <a:alpha val="25000"/>
              </a:schemeClr>
            </a:gs>
          </a:gsLst>
          <a:lin ang="5400000" scaled="0"/>
        </a:gradFill>
        <a:round/>
      </a:ln>
    </cs:spPr>
  </cs:gridlineMinor>
  <cs:hiLoLine>
    <cs:lnRef idx="0"/>
    <cs:fillRef idx="0"/>
    <cs:effectRef idx="0"/>
    <cs:fontRef idx="minor">
      <a:schemeClr val="dk1"/>
    </cs:fontRef>
    <cs:spPr>
      <a:ln w="9525">
        <a:solidFill>
          <a:schemeClr val="lt1">
            <a:lumMod val="50000"/>
          </a:schemeClr>
        </a:solidFill>
        <a:round/>
      </a:ln>
    </cs:spPr>
  </cs:hiLoLine>
  <cs:leaderLine>
    <cs:lnRef idx="0"/>
    <cs:fillRef idx="0"/>
    <cs:effectRef idx="0"/>
    <cs:fontRef idx="minor">
      <a:schemeClr val="dk1"/>
    </cs:fontRef>
    <cs:spPr>
      <a:ln w="9525">
        <a:solidFill>
          <a:schemeClr val="lt1">
            <a:lumMod val="50000"/>
          </a:schemeClr>
        </a:solidFill>
        <a:round/>
      </a:ln>
    </cs:spPr>
  </cs:leaderLine>
  <cs:legend>
    <cs:lnRef idx="0"/>
    <cs:fillRef idx="0"/>
    <cs:effectRef idx="0"/>
    <cs:fontRef idx="minor">
      <a:schemeClr val="lt1">
        <a:lumMod val="7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lt1">
        <a:lumMod val="75000"/>
      </a:schemeClr>
    </cs:fontRef>
    <cs:defRPr sz="900" kern="1200"/>
  </cs:seriesAxis>
  <cs:seriesLine>
    <cs:lnRef idx="0"/>
    <cs:fillRef idx="0"/>
    <cs:effectRef idx="0"/>
    <cs:fontRef idx="minor">
      <a:schemeClr val="dk1"/>
    </cs:fontRef>
    <cs:spPr>
      <a:ln w="9525">
        <a:solidFill>
          <a:schemeClr val="lt1">
            <a:lumMod val="50000"/>
          </a:schemeClr>
        </a:solidFill>
        <a:round/>
      </a:ln>
    </cs:spPr>
  </cs:seriesLine>
  <cs:title>
    <cs:lnRef idx="0"/>
    <cs:fillRef idx="0"/>
    <cs:effectRef idx="0"/>
    <cs:fontRef idx="minor">
      <a:schemeClr val="lt1">
        <a:lumMod val="85000"/>
      </a:schemeClr>
    </cs:fontRef>
    <cs:defRPr sz="1400" b="1" kern="1200" cap="none" baseline="0"/>
  </cs:title>
  <cs:trendline>
    <cs:lnRef idx="0">
      <cs:styleClr val="auto"/>
    </cs:lnRef>
    <cs:fillRef idx="0"/>
    <cs:effectRef idx="0"/>
    <cs:fontRef idx="minor">
      <a:schemeClr val="lt1"/>
    </cs:fontRef>
    <cs:spPr>
      <a:ln w="25400" cap="rnd">
        <a:solidFill>
          <a:schemeClr val="phClr">
            <a:alpha val="50000"/>
          </a:schemeClr>
        </a:solidFill>
      </a:ln>
    </cs:spPr>
  </cs:trendline>
  <cs:trendlineLabel>
    <cs:lnRef idx="0"/>
    <cs:fillRef idx="0"/>
    <cs:effectRef idx="0"/>
    <cs:fontRef idx="minor">
      <a:schemeClr val="lt1">
        <a:lumMod val="75000"/>
      </a:schemeClr>
    </cs:fontRef>
    <cs:defRPr sz="900" kern="1200"/>
  </cs:trendlineLabel>
  <cs:upBar>
    <cs:lnRef idx="0"/>
    <cs:fillRef idx="0"/>
    <cs:effectRef idx="0"/>
    <cs:fontRef idx="minor">
      <a:schemeClr val="dk1"/>
    </cs:fontRef>
    <cs:spPr>
      <a:solidFill>
        <a:schemeClr val="lt1">
          <a:lumMod val="85000"/>
        </a:schemeClr>
      </a:solidFill>
      <a:ln w="9525">
        <a:solidFill>
          <a:schemeClr val="dk1">
            <a:lumMod val="50000"/>
          </a:schemeClr>
        </a:solidFill>
        <a:round/>
      </a:ln>
    </cs:spPr>
  </cs:upBar>
  <cs:valueAxis>
    <cs:lnRef idx="0"/>
    <cs:fillRef idx="0"/>
    <cs:effectRef idx="0"/>
    <cs:fontRef idx="minor">
      <a:schemeClr val="lt1">
        <a:lumMod val="75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36">
  <cs:axisTitle>
    <cs:lnRef idx="0"/>
    <cs:fillRef idx="0"/>
    <cs:effectRef idx="0"/>
    <cs:fontRef idx="minor">
      <a:schemeClr val="lt1">
        <a:lumMod val="75000"/>
      </a:schemeClr>
    </cs:fontRef>
    <cs:defRPr sz="900" b="1" kern="1200"/>
  </cs:axisTitle>
  <cs:categoryAxis>
    <cs:lnRef idx="0"/>
    <cs:fillRef idx="0"/>
    <cs:effectRef idx="0"/>
    <cs:fontRef idx="minor">
      <a:schemeClr val="lt1">
        <a:lumMod val="75000"/>
      </a:schemeClr>
    </cs:fontRef>
    <cs:defRPr sz="900" kern="1200"/>
  </cs:categoryAxis>
  <cs:chartArea>
    <cs:lnRef idx="0"/>
    <cs:fillRef idx="0"/>
    <cs:effectRef idx="0"/>
    <cs:fontRef idx="minor">
      <a:schemeClr val="dk1"/>
    </cs:fontRef>
    <cs:spPr>
      <a:solidFill>
        <a:schemeClr val="dk1">
          <a:lumMod val="75000"/>
          <a:lumOff val="25000"/>
        </a:schemeClr>
      </a:solidFill>
      <a:ln w="9525" cap="flat" cmpd="sng" algn="ctr">
        <a:solidFill>
          <a:schemeClr val="dk1">
            <a:lumMod val="15000"/>
            <a:lumOff val="85000"/>
          </a:schemeClr>
        </a:solidFill>
        <a:round/>
      </a:ln>
    </cs:spPr>
    <cs:defRPr sz="900" kern="1200"/>
  </cs:chartArea>
  <cs:dataLabel>
    <cs:lnRef idx="0"/>
    <cs:fillRef idx="0"/>
    <cs:effectRef idx="0"/>
    <cs:fontRef idx="minor">
      <a:schemeClr val="lt1">
        <a:lumMod val="75000"/>
      </a:schemeClr>
    </cs:fontRef>
    <cs:defRPr sz="900" kern="1200"/>
  </cs:dataLabel>
  <cs:dataLabelCallout>
    <cs:lnRef idx="0"/>
    <cs:fillRef idx="0"/>
    <cs:effectRef idx="0"/>
    <cs:fontRef idx="minor">
      <a:schemeClr val="lt1">
        <a:lumMod val="15000"/>
        <a:lumOff val="85000"/>
      </a:schemeClr>
    </cs:fontRef>
    <cs:spPr>
      <a:solidFill>
        <a:schemeClr val="dk1">
          <a:lumMod val="65000"/>
          <a:lumOff val="35000"/>
        </a:schemeClr>
      </a:solidFill>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
  <cs:dataPoint3D>
    <cs:lnRef idx="0">
      <cs:styleClr val="auto"/>
    </cs:lnRef>
    <cs:fillRef idx="0">
      <cs:styleClr val="auto"/>
    </cs:fillRef>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3D>
  <cs:dataPointLine>
    <cs:lnRef idx="0">
      <cs:styleClr val="auto"/>
    </cs:lnRef>
    <cs:fillRef idx="0">
      <cs:styleClr val="auto"/>
    </cs:fillRef>
    <cs:effectRef idx="0">
      <cs:styleClr val="auto"/>
    </cs:effectRef>
    <cs:fontRef idx="minor">
      <a:schemeClr val="dk1"/>
    </cs:fontRef>
    <cs:spPr>
      <a:ln w="22225" cap="rnd">
        <a:solidFill>
          <a:schemeClr val="phClr"/>
        </a:solidFill>
      </a:ln>
      <a:effectLst>
        <a:glow rad="139700">
          <a:schemeClr val="phClr">
            <a:satMod val="175000"/>
            <a:alpha val="14000"/>
          </a:schemeClr>
        </a:glow>
      </a:effectLst>
    </cs:spPr>
  </cs:dataPointLine>
  <cs:dataPointMarker>
    <cs:lnRef idx="0">
      <cs:styleClr val="auto"/>
    </cs:lnRef>
    <cs:fillRef idx="0">
      <cs:styleClr val="auto"/>
    </cs:fillRef>
    <cs:effectRef idx="0">
      <cs:styleClr val="auto"/>
    </cs:effectRef>
    <cs:fontRef idx="minor">
      <a:schemeClr val="dk1"/>
    </cs:fontRef>
    <cs:spPr>
      <a:solidFill>
        <a:schemeClr val="phClr">
          <a:lumMod val="60000"/>
          <a:lumOff val="40000"/>
        </a:schemeClr>
      </a:solidFill>
      <a:effectLst>
        <a:glow rad="63500">
          <a:schemeClr val="phClr">
            <a:satMod val="175000"/>
            <a:alpha val="25000"/>
          </a:schemeClr>
        </a:glow>
      </a:effectLst>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lt1">
        <a:lumMod val="75000"/>
      </a:schemeClr>
    </cs:fontRef>
    <cs:spPr>
      <a:ln w="9525">
        <a:solidFill>
          <a:schemeClr val="dk1">
            <a:lumMod val="50000"/>
            <a:lumOff val="50000"/>
          </a:schemeClr>
        </a:solidFill>
      </a:ln>
    </cs:spPr>
    <cs:defRPr sz="900" kern="1200"/>
  </cs:dataTable>
  <cs:downBar>
    <cs:lnRef idx="0"/>
    <cs:fillRef idx="0"/>
    <cs:effectRef idx="0"/>
    <cs:fontRef idx="minor">
      <a:schemeClr val="lt1"/>
    </cs:fontRef>
    <cs:spPr>
      <a:solidFill>
        <a:schemeClr val="dk1">
          <a:lumMod val="50000"/>
          <a:lumOff val="50000"/>
        </a:schemeClr>
      </a:solidFill>
      <a:ln w="9525">
        <a:solidFill>
          <a:schemeClr val="dk1">
            <a:lumMod val="75000"/>
          </a:schemeClr>
        </a:solidFill>
        <a:round/>
      </a:ln>
    </cs:spPr>
  </cs:downBar>
  <cs:dropLine>
    <cs:lnRef idx="0"/>
    <cs:fillRef idx="0"/>
    <cs:effectRef idx="0"/>
    <cs:fontRef idx="minor">
      <a:schemeClr val="dk1"/>
    </cs:fontRef>
    <cs:spPr>
      <a:ln w="9525">
        <a:solidFill>
          <a:schemeClr val="lt1">
            <a:lumMod val="50000"/>
          </a:schemeClr>
        </a:solidFill>
        <a:round/>
      </a:ln>
    </cs:spPr>
  </cs:dropLine>
  <cs:errorBar>
    <cs:lnRef idx="0"/>
    <cs:fillRef idx="0"/>
    <cs:effectRef idx="0"/>
    <cs:fontRef idx="minor">
      <a:schemeClr val="dk1"/>
    </cs:fontRef>
    <cs:spPr>
      <a:ln w="9525">
        <a:solidFill>
          <a:schemeClr val="lt1">
            <a:lumMod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75000"/>
                <a:lumOff val="25000"/>
              </a:schemeClr>
            </a:gs>
            <a:gs pos="0">
              <a:schemeClr val="dk1">
                <a:lumMod val="65000"/>
                <a:lumOff val="35000"/>
              </a:schemeClr>
            </a:gs>
          </a:gsLst>
          <a:lin ang="5400000" scaled="0"/>
        </a:gradFill>
        <a:round/>
      </a:ln>
    </cs:spPr>
  </cs:gridlineMajor>
  <cs:gridlineMinor>
    <cs:lnRef idx="0"/>
    <cs:fillRef idx="0"/>
    <cs:effectRef idx="0"/>
    <cs:fontRef idx="minor">
      <a:schemeClr val="dk1"/>
    </cs:fontRef>
    <cs:spPr>
      <a:ln w="9525" cap="flat" cmpd="sng" algn="ctr">
        <a:gradFill>
          <a:gsLst>
            <a:gs pos="100000">
              <a:schemeClr val="dk1">
                <a:lumMod val="75000"/>
                <a:lumOff val="25000"/>
                <a:alpha val="25000"/>
              </a:schemeClr>
            </a:gs>
            <a:gs pos="0">
              <a:schemeClr val="dk1">
                <a:lumMod val="65000"/>
                <a:lumOff val="35000"/>
                <a:alpha val="25000"/>
              </a:schemeClr>
            </a:gs>
          </a:gsLst>
          <a:lin ang="5400000" scaled="0"/>
        </a:gradFill>
        <a:round/>
      </a:ln>
    </cs:spPr>
  </cs:gridlineMinor>
  <cs:hiLoLine>
    <cs:lnRef idx="0"/>
    <cs:fillRef idx="0"/>
    <cs:effectRef idx="0"/>
    <cs:fontRef idx="minor">
      <a:schemeClr val="dk1"/>
    </cs:fontRef>
    <cs:spPr>
      <a:ln w="9525">
        <a:solidFill>
          <a:schemeClr val="lt1">
            <a:lumMod val="50000"/>
          </a:schemeClr>
        </a:solidFill>
        <a:round/>
      </a:ln>
    </cs:spPr>
  </cs:hiLoLine>
  <cs:leaderLine>
    <cs:lnRef idx="0"/>
    <cs:fillRef idx="0"/>
    <cs:effectRef idx="0"/>
    <cs:fontRef idx="minor">
      <a:schemeClr val="dk1"/>
    </cs:fontRef>
    <cs:spPr>
      <a:ln w="9525">
        <a:solidFill>
          <a:schemeClr val="lt1">
            <a:lumMod val="50000"/>
          </a:schemeClr>
        </a:solidFill>
        <a:round/>
      </a:ln>
    </cs:spPr>
  </cs:leaderLine>
  <cs:legend>
    <cs:lnRef idx="0"/>
    <cs:fillRef idx="0"/>
    <cs:effectRef idx="0"/>
    <cs:fontRef idx="minor">
      <a:schemeClr val="lt1">
        <a:lumMod val="7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lt1">
        <a:lumMod val="75000"/>
      </a:schemeClr>
    </cs:fontRef>
    <cs:defRPr sz="900" kern="1200"/>
  </cs:seriesAxis>
  <cs:seriesLine>
    <cs:lnRef idx="0"/>
    <cs:fillRef idx="0"/>
    <cs:effectRef idx="0"/>
    <cs:fontRef idx="minor">
      <a:schemeClr val="dk1"/>
    </cs:fontRef>
    <cs:spPr>
      <a:ln w="9525">
        <a:solidFill>
          <a:schemeClr val="lt1">
            <a:lumMod val="50000"/>
          </a:schemeClr>
        </a:solidFill>
        <a:round/>
      </a:ln>
    </cs:spPr>
  </cs:seriesLine>
  <cs:title>
    <cs:lnRef idx="0"/>
    <cs:fillRef idx="0"/>
    <cs:effectRef idx="0"/>
    <cs:fontRef idx="minor">
      <a:schemeClr val="lt1">
        <a:lumMod val="85000"/>
      </a:schemeClr>
    </cs:fontRef>
    <cs:defRPr sz="1400" b="1" kern="1200" cap="none" baseline="0"/>
  </cs:title>
  <cs:trendline>
    <cs:lnRef idx="0">
      <cs:styleClr val="auto"/>
    </cs:lnRef>
    <cs:fillRef idx="0"/>
    <cs:effectRef idx="0"/>
    <cs:fontRef idx="minor">
      <a:schemeClr val="lt1"/>
    </cs:fontRef>
    <cs:spPr>
      <a:ln w="25400" cap="rnd">
        <a:solidFill>
          <a:schemeClr val="phClr">
            <a:alpha val="50000"/>
          </a:schemeClr>
        </a:solidFill>
      </a:ln>
    </cs:spPr>
  </cs:trendline>
  <cs:trendlineLabel>
    <cs:lnRef idx="0"/>
    <cs:fillRef idx="0"/>
    <cs:effectRef idx="0"/>
    <cs:fontRef idx="minor">
      <a:schemeClr val="lt1">
        <a:lumMod val="75000"/>
      </a:schemeClr>
    </cs:fontRef>
    <cs:defRPr sz="900" kern="1200"/>
  </cs:trendlineLabel>
  <cs:upBar>
    <cs:lnRef idx="0"/>
    <cs:fillRef idx="0"/>
    <cs:effectRef idx="0"/>
    <cs:fontRef idx="minor">
      <a:schemeClr val="dk1"/>
    </cs:fontRef>
    <cs:spPr>
      <a:solidFill>
        <a:schemeClr val="lt1">
          <a:lumMod val="85000"/>
        </a:schemeClr>
      </a:solidFill>
      <a:ln w="9525">
        <a:solidFill>
          <a:schemeClr val="dk1">
            <a:lumMod val="50000"/>
          </a:schemeClr>
        </a:solidFill>
        <a:round/>
      </a:ln>
    </cs:spPr>
  </cs:upBar>
  <cs:valueAxis>
    <cs:lnRef idx="0"/>
    <cs:fillRef idx="0"/>
    <cs:effectRef idx="0"/>
    <cs:fontRef idx="minor">
      <a:schemeClr val="lt1">
        <a:lumMod val="7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22</xdr:col>
      <xdr:colOff>609599</xdr:colOff>
      <xdr:row>1</xdr:row>
      <xdr:rowOff>190499</xdr:rowOff>
    </xdr:from>
    <xdr:to>
      <xdr:col>38</xdr:col>
      <xdr:colOff>361686</xdr:colOff>
      <xdr:row>32</xdr:row>
      <xdr:rowOff>60959</xdr:rowOff>
    </xdr:to>
    <xdr:pic>
      <xdr:nvPicPr>
        <xdr:cNvPr id="2" name="Afbeelding 1">
          <a:extLst>
            <a:ext uri="{FF2B5EF4-FFF2-40B4-BE49-F238E27FC236}">
              <a16:creationId xmlns:a16="http://schemas.microsoft.com/office/drawing/2014/main" id="{902C9DAD-569B-9E4E-EBDE-D902B8598CD2}"/>
            </a:ext>
          </a:extLst>
        </xdr:cNvPr>
        <xdr:cNvPicPr>
          <a:picLocks noChangeAspect="1"/>
        </xdr:cNvPicPr>
      </xdr:nvPicPr>
      <xdr:blipFill>
        <a:blip xmlns:r="http://schemas.openxmlformats.org/officeDocument/2006/relationships" r:embed="rId1"/>
        <a:stretch>
          <a:fillRect/>
        </a:stretch>
      </xdr:blipFill>
      <xdr:spPr>
        <a:xfrm>
          <a:off x="16240124" y="380999"/>
          <a:ext cx="9521199" cy="5667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1516856</xdr:colOff>
      <xdr:row>22</xdr:row>
      <xdr:rowOff>57149</xdr:rowOff>
    </xdr:from>
    <xdr:to>
      <xdr:col>18</xdr:col>
      <xdr:colOff>182681</xdr:colOff>
      <xdr:row>40</xdr:row>
      <xdr:rowOff>34836</xdr:rowOff>
    </xdr:to>
    <xdr:graphicFrame macro="">
      <xdr:nvGraphicFramePr>
        <xdr:cNvPr id="3" name="Grafiek 2">
          <a:extLst>
            <a:ext uri="{FF2B5EF4-FFF2-40B4-BE49-F238E27FC236}">
              <a16:creationId xmlns:a16="http://schemas.microsoft.com/office/drawing/2014/main" id="{37BDC051-DAA6-7B31-E617-0FE8151EA2B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638175</xdr:colOff>
      <xdr:row>21</xdr:row>
      <xdr:rowOff>171449</xdr:rowOff>
    </xdr:from>
    <xdr:to>
      <xdr:col>6</xdr:col>
      <xdr:colOff>847050</xdr:colOff>
      <xdr:row>39</xdr:row>
      <xdr:rowOff>153899</xdr:rowOff>
    </xdr:to>
    <xdr:graphicFrame macro="">
      <xdr:nvGraphicFramePr>
        <xdr:cNvPr id="5" name="Grafiek 4">
          <a:extLst>
            <a:ext uri="{FF2B5EF4-FFF2-40B4-BE49-F238E27FC236}">
              <a16:creationId xmlns:a16="http://schemas.microsoft.com/office/drawing/2014/main" id="{CA4B0BDF-1751-5BE9-312E-597EBB3AC2F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Jeroen Oppenhuis" id="{60860EED-B378-4933-808B-92E3CFF2994C}" userId="S::J.Oppenhuis@wooncompagnie.nl::94829241-6fab-4e0b-a3e3-0005d3a0e250" providerId="AD"/>
</personList>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9" dT="2024-03-13T14:39:08.30" personId="{60860EED-B378-4933-808B-92E3CFF2994C}" id="{B61DA332-7781-4477-938A-635FDD2417C2}">
    <text>Formule hybride klopt niet=ALS.VOORWAARDEN(C7="Hybride";C4+(C5*(1-Uitgangspunten!C37)*10/Uitgangspunten!C36);C7="All electric";C4+(C5*10/Uitgangspunten!C36);C7="Geen";C4;C7="Warmtenet";C4)</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09BE1-6C6A-4B40-A9AB-811A3A95FE29}">
  <dimension ref="B2:X40"/>
  <sheetViews>
    <sheetView tabSelected="1" zoomScaleNormal="100" workbookViewId="0">
      <selection activeCell="F36" sqref="F36"/>
    </sheetView>
  </sheetViews>
  <sheetFormatPr defaultColWidth="8.77734375" defaultRowHeight="14.4" x14ac:dyDescent="0.3"/>
  <cols>
    <col min="2" max="2" width="30.77734375" bestFit="1" customWidth="1"/>
    <col min="3" max="3" width="13" customWidth="1"/>
    <col min="4" max="4" width="10.77734375" bestFit="1" customWidth="1"/>
    <col min="5" max="5" width="11.33203125" customWidth="1"/>
    <col min="6" max="22" width="9.6640625" customWidth="1"/>
  </cols>
  <sheetData>
    <row r="2" spans="2:24" x14ac:dyDescent="0.3">
      <c r="C2" s="2" t="s">
        <v>84</v>
      </c>
      <c r="D2" s="2"/>
      <c r="X2" s="2" t="s">
        <v>0</v>
      </c>
    </row>
    <row r="3" spans="2:24" x14ac:dyDescent="0.3">
      <c r="B3" s="2" t="s">
        <v>1</v>
      </c>
      <c r="E3">
        <v>2025</v>
      </c>
      <c r="F3">
        <f>E3+1</f>
        <v>2026</v>
      </c>
      <c r="G3">
        <f t="shared" ref="G3:V3" si="0">F3+1</f>
        <v>2027</v>
      </c>
      <c r="H3">
        <f t="shared" si="0"/>
        <v>2028</v>
      </c>
      <c r="I3">
        <f t="shared" si="0"/>
        <v>2029</v>
      </c>
      <c r="J3">
        <f t="shared" si="0"/>
        <v>2030</v>
      </c>
      <c r="K3">
        <f t="shared" si="0"/>
        <v>2031</v>
      </c>
      <c r="L3">
        <f t="shared" si="0"/>
        <v>2032</v>
      </c>
      <c r="M3">
        <f t="shared" si="0"/>
        <v>2033</v>
      </c>
      <c r="N3">
        <f t="shared" si="0"/>
        <v>2034</v>
      </c>
      <c r="O3">
        <f t="shared" si="0"/>
        <v>2035</v>
      </c>
      <c r="P3">
        <f t="shared" si="0"/>
        <v>2036</v>
      </c>
      <c r="Q3">
        <f t="shared" si="0"/>
        <v>2037</v>
      </c>
      <c r="R3">
        <f t="shared" si="0"/>
        <v>2038</v>
      </c>
      <c r="S3">
        <f t="shared" si="0"/>
        <v>2039</v>
      </c>
      <c r="T3">
        <f t="shared" si="0"/>
        <v>2040</v>
      </c>
      <c r="U3">
        <f t="shared" si="0"/>
        <v>2041</v>
      </c>
      <c r="V3">
        <f t="shared" si="0"/>
        <v>2042</v>
      </c>
    </row>
    <row r="4" spans="2:24" x14ac:dyDescent="0.3">
      <c r="B4" s="36" t="s">
        <v>2</v>
      </c>
      <c r="C4" s="8">
        <v>0.25130000000000002</v>
      </c>
      <c r="D4" t="s">
        <v>3</v>
      </c>
      <c r="E4" s="35">
        <f>C4</f>
        <v>0.25130000000000002</v>
      </c>
      <c r="F4" s="35">
        <f t="shared" ref="F4:V4" si="1">IF($C$19="Ja",E4*(1+$C$15),E4)</f>
        <v>0.25632600000000005</v>
      </c>
      <c r="G4" s="35">
        <f t="shared" si="1"/>
        <v>0.26145252000000008</v>
      </c>
      <c r="H4" s="35">
        <f t="shared" si="1"/>
        <v>0.26668157040000007</v>
      </c>
      <c r="I4" s="35">
        <f t="shared" si="1"/>
        <v>0.2720152018080001</v>
      </c>
      <c r="J4" s="35">
        <f t="shared" si="1"/>
        <v>0.27745550584416012</v>
      </c>
      <c r="K4" s="35">
        <f t="shared" si="1"/>
        <v>0.28300461596104332</v>
      </c>
      <c r="L4" s="35">
        <f t="shared" si="1"/>
        <v>0.28866470828026419</v>
      </c>
      <c r="M4" s="35">
        <f t="shared" si="1"/>
        <v>0.29443800244586948</v>
      </c>
      <c r="N4" s="35">
        <f t="shared" si="1"/>
        <v>0.3003267624947869</v>
      </c>
      <c r="O4" s="35">
        <f t="shared" si="1"/>
        <v>0.30633329774468265</v>
      </c>
      <c r="P4" s="35">
        <f t="shared" si="1"/>
        <v>0.31245996369957629</v>
      </c>
      <c r="Q4" s="35">
        <f t="shared" si="1"/>
        <v>0.31870916297356783</v>
      </c>
      <c r="R4" s="35">
        <f t="shared" si="1"/>
        <v>0.32508334623303919</v>
      </c>
      <c r="S4" s="35">
        <f t="shared" si="1"/>
        <v>0.3315850131577</v>
      </c>
      <c r="T4" s="35">
        <f t="shared" si="1"/>
        <v>0.33821671342085402</v>
      </c>
      <c r="U4" s="35">
        <f t="shared" si="1"/>
        <v>0.34498104768927113</v>
      </c>
      <c r="V4" s="35">
        <f t="shared" si="1"/>
        <v>0.35188066864305656</v>
      </c>
    </row>
    <row r="5" spans="2:24" x14ac:dyDescent="0.3">
      <c r="B5" s="36" t="s">
        <v>4</v>
      </c>
      <c r="C5" s="8">
        <v>0.15229999999999999</v>
      </c>
      <c r="D5" t="s">
        <v>3</v>
      </c>
      <c r="E5" s="35">
        <f t="shared" ref="E5:G5" si="2">IF($C$19="Ja",$C$5*(1+$C$15)^(E3-$E$3),$C$5)</f>
        <v>0.15229999999999999</v>
      </c>
      <c r="F5" s="35">
        <f t="shared" si="2"/>
        <v>0.15534599999999998</v>
      </c>
      <c r="G5" s="35">
        <f t="shared" si="2"/>
        <v>0.15845292</v>
      </c>
      <c r="H5" s="35">
        <f t="shared" ref="H5:V5" si="3">IF($C$19="Ja",$C$5*(1+$C$15)^(H3-$E$3),$C$5)</f>
        <v>0.16162197839999998</v>
      </c>
      <c r="I5" s="35">
        <f t="shared" si="3"/>
        <v>0.16485441796799999</v>
      </c>
      <c r="J5" s="35">
        <f t="shared" si="3"/>
        <v>0.16815150632735998</v>
      </c>
      <c r="K5" s="35">
        <f t="shared" si="3"/>
        <v>0.17151453645390721</v>
      </c>
      <c r="L5" s="35">
        <f t="shared" si="3"/>
        <v>0.17494482718298532</v>
      </c>
      <c r="M5" s="35">
        <f t="shared" si="3"/>
        <v>0.17844372372664502</v>
      </c>
      <c r="N5" s="35">
        <f t="shared" si="3"/>
        <v>0.18201259820117793</v>
      </c>
      <c r="O5" s="35">
        <f t="shared" si="3"/>
        <v>0.1856528501652015</v>
      </c>
      <c r="P5" s="35">
        <f t="shared" si="3"/>
        <v>0.18936590716850549</v>
      </c>
      <c r="Q5" s="35">
        <f t="shared" si="3"/>
        <v>0.19315322531187562</v>
      </c>
      <c r="R5" s="35">
        <f t="shared" si="3"/>
        <v>0.19701628981811314</v>
      </c>
      <c r="S5" s="35">
        <f t="shared" si="3"/>
        <v>0.20095661561447542</v>
      </c>
      <c r="T5" s="35">
        <f t="shared" si="3"/>
        <v>0.20497574792676487</v>
      </c>
      <c r="U5" s="35">
        <f t="shared" si="3"/>
        <v>0.20907526288530021</v>
      </c>
      <c r="V5" s="35">
        <f t="shared" si="3"/>
        <v>0.21325676814300623</v>
      </c>
    </row>
    <row r="6" spans="2:24" x14ac:dyDescent="0.3">
      <c r="B6" s="39" t="s">
        <v>5</v>
      </c>
      <c r="C6" s="8" t="s">
        <v>6</v>
      </c>
      <c r="D6" t="s">
        <v>7</v>
      </c>
      <c r="E6" s="20">
        <f>IF($C$6="Ja",Scenario!M11,0)</f>
        <v>12.5</v>
      </c>
      <c r="F6" s="20">
        <f>IF($C$6="Ja",IF($C$19="Ja",E6*(1+$C$18),E6),0)</f>
        <v>12.75</v>
      </c>
      <c r="G6" s="20">
        <f t="shared" ref="G6" si="4">IF($C$6="Ja",IF($C$19="Ja",F6*(1+$C$18),F6),0)</f>
        <v>13.005000000000001</v>
      </c>
      <c r="H6" s="20">
        <f t="shared" ref="H6" si="5">IF($C$6="Ja",IF($C$19="Ja",G6*(1+$C$18),G6),0)</f>
        <v>13.2651</v>
      </c>
      <c r="I6" s="20">
        <f t="shared" ref="I6" si="6">IF($C$6="Ja",IF($C$19="Ja",H6*(1+$C$18),H6),0)</f>
        <v>13.530402</v>
      </c>
      <c r="J6" s="20">
        <f t="shared" ref="J6" si="7">IF($C$6="Ja",IF($C$19="Ja",I6*(1+$C$18),I6),0)</f>
        <v>13.801010040000001</v>
      </c>
      <c r="K6" s="20">
        <f t="shared" ref="K6" si="8">IF($C$6="Ja",IF($C$19="Ja",J6*(1+$C$18),J6),0)</f>
        <v>14.077030240800001</v>
      </c>
      <c r="L6" s="20">
        <f t="shared" ref="L6" si="9">IF($C$6="Ja",IF($C$19="Ja",K6*(1+$C$18),K6),0)</f>
        <v>14.358570845616001</v>
      </c>
      <c r="M6" s="20">
        <f t="shared" ref="M6" si="10">IF($C$6="Ja",IF($C$19="Ja",L6*(1+$C$18),L6),0)</f>
        <v>14.645742262528321</v>
      </c>
      <c r="N6" s="20">
        <f t="shared" ref="N6" si="11">IF($C$6="Ja",IF($C$19="Ja",M6*(1+$C$18),M6),0)</f>
        <v>14.938657107778887</v>
      </c>
      <c r="O6" s="20">
        <f t="shared" ref="O6" si="12">IF($C$6="Ja",IF($C$19="Ja",N6*(1+$C$18),N6),0)</f>
        <v>15.237430249934466</v>
      </c>
      <c r="P6" s="20">
        <f t="shared" ref="P6" si="13">IF($C$6="Ja",IF($C$19="Ja",O6*(1+$C$18),O6),0)</f>
        <v>15.542178854933155</v>
      </c>
      <c r="Q6" s="20">
        <f t="shared" ref="Q6" si="14">IF($C$6="Ja",IF($C$19="Ja",P6*(1+$C$18),P6),0)</f>
        <v>15.853022432031819</v>
      </c>
      <c r="R6" s="20">
        <f t="shared" ref="R6" si="15">IF($C$6="Ja",IF($C$19="Ja",Q6*(1+$C$18),Q6),0)</f>
        <v>16.170082880672457</v>
      </c>
      <c r="S6" s="20">
        <f t="shared" ref="S6" si="16">IF($C$6="Ja",IF($C$19="Ja",R6*(1+$C$18),R6),0)</f>
        <v>16.493484538285905</v>
      </c>
      <c r="T6" s="20">
        <f t="shared" ref="T6" si="17">IF($C$6="Ja",IF($C$19="Ja",S6*(1+$C$18),S6),0)</f>
        <v>16.823354229051624</v>
      </c>
      <c r="U6" s="20">
        <f t="shared" ref="U6" si="18">IF($C$6="Ja",IF($C$19="Ja",T6*(1+$C$18),T6),0)</f>
        <v>17.159821313632659</v>
      </c>
      <c r="V6" s="20">
        <f t="shared" ref="V6" si="19">IF($C$6="Ja",IF($C$19="Ja",U6*(1+$C$18),U6),0)</f>
        <v>17.503017739905314</v>
      </c>
    </row>
    <row r="7" spans="2:24" ht="14.55" customHeight="1" x14ac:dyDescent="0.3">
      <c r="B7" s="37" t="s">
        <v>8</v>
      </c>
      <c r="C7" s="8">
        <v>1.2202999999999999</v>
      </c>
      <c r="D7" t="s">
        <v>9</v>
      </c>
      <c r="E7" s="35">
        <f>C7</f>
        <v>1.2202999999999999</v>
      </c>
      <c r="F7" s="35">
        <f>IF($C$19="Ja",E7*(1+$C$16),E7)</f>
        <v>1.2569090000000001</v>
      </c>
      <c r="G7" s="35">
        <f t="shared" ref="G7:V7" si="20">IF($C$19="Ja",F7*(1+$C$16),F7)</f>
        <v>1.2946162700000001</v>
      </c>
      <c r="H7" s="35">
        <f t="shared" si="20"/>
        <v>1.3334547581000002</v>
      </c>
      <c r="I7" s="35">
        <f t="shared" si="20"/>
        <v>1.3734584008430002</v>
      </c>
      <c r="J7" s="35">
        <f t="shared" si="20"/>
        <v>1.4146621528682903</v>
      </c>
      <c r="K7" s="35">
        <f t="shared" si="20"/>
        <v>1.457102017454339</v>
      </c>
      <c r="L7" s="35">
        <f t="shared" si="20"/>
        <v>1.5008150779779692</v>
      </c>
      <c r="M7" s="35">
        <f t="shared" si="20"/>
        <v>1.5458395303173083</v>
      </c>
      <c r="N7" s="35">
        <f t="shared" si="20"/>
        <v>1.5922147162268276</v>
      </c>
      <c r="O7" s="35">
        <f t="shared" si="20"/>
        <v>1.6399811577136325</v>
      </c>
      <c r="P7" s="35">
        <f t="shared" si="20"/>
        <v>1.6891805924450416</v>
      </c>
      <c r="Q7" s="35">
        <f t="shared" si="20"/>
        <v>1.7398560102183929</v>
      </c>
      <c r="R7" s="35">
        <f t="shared" si="20"/>
        <v>1.7920516905249446</v>
      </c>
      <c r="S7" s="35">
        <f t="shared" si="20"/>
        <v>1.8458132412406929</v>
      </c>
      <c r="T7" s="35">
        <f t="shared" si="20"/>
        <v>1.9011876384779138</v>
      </c>
      <c r="U7" s="35">
        <f t="shared" si="20"/>
        <v>1.9582232676322513</v>
      </c>
      <c r="V7" s="35">
        <f t="shared" si="20"/>
        <v>2.016969965661219</v>
      </c>
    </row>
    <row r="8" spans="2:24" ht="14.55" customHeight="1" x14ac:dyDescent="0.3">
      <c r="B8" s="38" t="s">
        <v>10</v>
      </c>
      <c r="C8" s="7">
        <v>46.69</v>
      </c>
      <c r="D8" t="s">
        <v>11</v>
      </c>
      <c r="E8" s="20">
        <f>C8</f>
        <v>46.69</v>
      </c>
      <c r="F8" s="20">
        <f>IF($C$19="Ja",E8*(1+$C$17),E8)</f>
        <v>47.623799999999996</v>
      </c>
      <c r="G8" s="20">
        <f t="shared" ref="G8:V8" si="21">IF($C$19="Ja",F8*(1+$C$17),F8)</f>
        <v>48.576275999999993</v>
      </c>
      <c r="H8" s="20">
        <f t="shared" si="21"/>
        <v>49.547801519999993</v>
      </c>
      <c r="I8" s="20">
        <f t="shared" si="21"/>
        <v>50.538757550399993</v>
      </c>
      <c r="J8" s="20">
        <f t="shared" si="21"/>
        <v>51.54953270140799</v>
      </c>
      <c r="K8" s="20">
        <f t="shared" si="21"/>
        <v>52.580523355436149</v>
      </c>
      <c r="L8" s="20">
        <f t="shared" si="21"/>
        <v>53.632133822544873</v>
      </c>
      <c r="M8" s="20">
        <f t="shared" si="21"/>
        <v>54.70477649899577</v>
      </c>
      <c r="N8" s="20">
        <f t="shared" si="21"/>
        <v>55.798872028975687</v>
      </c>
      <c r="O8" s="20">
        <f t="shared" si="21"/>
        <v>56.9148494695552</v>
      </c>
      <c r="P8" s="20">
        <f t="shared" si="21"/>
        <v>58.053146458946308</v>
      </c>
      <c r="Q8" s="20">
        <f t="shared" si="21"/>
        <v>59.214209388125234</v>
      </c>
      <c r="R8" s="20">
        <f t="shared" si="21"/>
        <v>60.398493575887741</v>
      </c>
      <c r="S8" s="20">
        <f t="shared" si="21"/>
        <v>61.606463447405496</v>
      </c>
      <c r="T8" s="20">
        <f t="shared" si="21"/>
        <v>62.83859271635361</v>
      </c>
      <c r="U8" s="20">
        <f t="shared" si="21"/>
        <v>64.095364570680687</v>
      </c>
      <c r="V8" s="20">
        <f t="shared" si="21"/>
        <v>65.377271862094304</v>
      </c>
    </row>
    <row r="9" spans="2:24" ht="14.55" customHeight="1" x14ac:dyDescent="0.3">
      <c r="B9" s="39" t="s">
        <v>12</v>
      </c>
      <c r="C9" s="20">
        <f>(C10+C11)*365</f>
        <v>471.77344999999997</v>
      </c>
      <c r="D9" t="s">
        <v>13</v>
      </c>
      <c r="E9" s="20">
        <f>C9</f>
        <v>471.77344999999997</v>
      </c>
      <c r="F9" s="20">
        <f>IF($C$19="Ja",E9*(1+$C$18),E9)</f>
        <v>481.20891899999998</v>
      </c>
      <c r="G9" s="20">
        <f t="shared" ref="G9:V9" si="22">IF($C$19="Ja",F9*(1+$C$18),F9)</f>
        <v>490.83309737999997</v>
      </c>
      <c r="H9" s="20">
        <f t="shared" si="22"/>
        <v>500.64975932759995</v>
      </c>
      <c r="I9" s="20">
        <f t="shared" si="22"/>
        <v>510.66275451415197</v>
      </c>
      <c r="J9" s="20">
        <f t="shared" si="22"/>
        <v>520.87600960443501</v>
      </c>
      <c r="K9" s="20">
        <f t="shared" si="22"/>
        <v>531.29352979652367</v>
      </c>
      <c r="L9" s="20">
        <f t="shared" si="22"/>
        <v>541.91940039245412</v>
      </c>
      <c r="M9" s="20">
        <f t="shared" si="22"/>
        <v>552.75778840030318</v>
      </c>
      <c r="N9" s="20">
        <f t="shared" si="22"/>
        <v>563.81294416830929</v>
      </c>
      <c r="O9" s="20">
        <f t="shared" si="22"/>
        <v>575.08920305167544</v>
      </c>
      <c r="P9" s="20">
        <f t="shared" si="22"/>
        <v>586.59098711270894</v>
      </c>
      <c r="Q9" s="20">
        <f t="shared" si="22"/>
        <v>598.32280685496312</v>
      </c>
      <c r="R9" s="20">
        <f t="shared" si="22"/>
        <v>610.28926299206239</v>
      </c>
      <c r="S9" s="20">
        <f t="shared" si="22"/>
        <v>622.49504825190365</v>
      </c>
      <c r="T9" s="20">
        <f t="shared" si="22"/>
        <v>634.94494921694172</v>
      </c>
      <c r="U9" s="20">
        <f t="shared" si="22"/>
        <v>647.64384820128055</v>
      </c>
      <c r="V9" s="20">
        <f t="shared" si="22"/>
        <v>660.59672516530622</v>
      </c>
    </row>
    <row r="10" spans="2:24" ht="14.55" customHeight="1" x14ac:dyDescent="0.3">
      <c r="B10" s="42" t="s">
        <v>14</v>
      </c>
      <c r="C10" s="43">
        <v>1.0953999999999999</v>
      </c>
      <c r="D10" t="s">
        <v>15</v>
      </c>
      <c r="E10" s="20"/>
      <c r="F10" s="20"/>
      <c r="G10" s="20"/>
      <c r="H10" s="20"/>
      <c r="I10" s="20"/>
      <c r="J10" s="20"/>
      <c r="K10" s="20"/>
      <c r="L10" s="20"/>
      <c r="M10" s="20"/>
      <c r="N10" s="20"/>
      <c r="O10" s="20"/>
      <c r="P10" s="20"/>
      <c r="Q10" s="20"/>
      <c r="R10" s="20"/>
      <c r="S10" s="20"/>
      <c r="T10" s="20"/>
      <c r="U10" s="20"/>
      <c r="V10" s="20"/>
    </row>
    <row r="11" spans="2:24" ht="14.55" customHeight="1" x14ac:dyDescent="0.3">
      <c r="B11" s="42" t="s">
        <v>16</v>
      </c>
      <c r="C11" s="43">
        <v>0.19713</v>
      </c>
      <c r="D11" t="s">
        <v>15</v>
      </c>
      <c r="E11" s="20"/>
      <c r="F11" s="20"/>
      <c r="G11" s="20"/>
      <c r="H11" s="20"/>
      <c r="I11" s="20"/>
      <c r="J11" s="20"/>
      <c r="K11" s="20"/>
      <c r="L11" s="20"/>
      <c r="M11" s="20"/>
      <c r="N11" s="20"/>
      <c r="O11" s="20"/>
      <c r="P11" s="20"/>
      <c r="Q11" s="20"/>
      <c r="R11" s="20"/>
      <c r="S11" s="20"/>
      <c r="T11" s="20"/>
      <c r="U11" s="20"/>
      <c r="V11" s="20"/>
    </row>
    <row r="12" spans="2:24" ht="14.55" customHeight="1" x14ac:dyDescent="0.3">
      <c r="B12" s="39" t="s">
        <v>17</v>
      </c>
      <c r="D12" t="s">
        <v>13</v>
      </c>
      <c r="E12" s="20">
        <f>Scenario!M16</f>
        <v>0</v>
      </c>
      <c r="F12" s="20">
        <f>IF($C$19="Ja",E12*(1+$C$18),E12)</f>
        <v>0</v>
      </c>
      <c r="G12" s="20">
        <f t="shared" ref="G12:V12" si="23">IF($C$19="Ja",F12*(1+$C$18),F12)</f>
        <v>0</v>
      </c>
      <c r="H12" s="20">
        <f t="shared" si="23"/>
        <v>0</v>
      </c>
      <c r="I12" s="20">
        <f t="shared" si="23"/>
        <v>0</v>
      </c>
      <c r="J12" s="20">
        <f t="shared" si="23"/>
        <v>0</v>
      </c>
      <c r="K12" s="20">
        <f t="shared" si="23"/>
        <v>0</v>
      </c>
      <c r="L12" s="20">
        <f t="shared" si="23"/>
        <v>0</v>
      </c>
      <c r="M12" s="20">
        <f t="shared" si="23"/>
        <v>0</v>
      </c>
      <c r="N12" s="20">
        <f t="shared" si="23"/>
        <v>0</v>
      </c>
      <c r="O12" s="20">
        <f t="shared" si="23"/>
        <v>0</v>
      </c>
      <c r="P12" s="20">
        <f t="shared" si="23"/>
        <v>0</v>
      </c>
      <c r="Q12" s="20">
        <f t="shared" si="23"/>
        <v>0</v>
      </c>
      <c r="R12" s="20">
        <f t="shared" si="23"/>
        <v>0</v>
      </c>
      <c r="S12" s="20">
        <f t="shared" si="23"/>
        <v>0</v>
      </c>
      <c r="T12" s="20">
        <f t="shared" si="23"/>
        <v>0</v>
      </c>
      <c r="U12" s="20">
        <f t="shared" si="23"/>
        <v>0</v>
      </c>
      <c r="V12" s="20">
        <f t="shared" si="23"/>
        <v>0</v>
      </c>
    </row>
    <row r="13" spans="2:24" ht="14.55" customHeight="1" x14ac:dyDescent="0.3">
      <c r="B13" s="39" t="s">
        <v>18</v>
      </c>
      <c r="C13" s="7">
        <f>618.82+31.68+145.38</f>
        <v>795.88</v>
      </c>
      <c r="D13" t="s">
        <v>13</v>
      </c>
      <c r="E13" s="20">
        <f>C13</f>
        <v>795.88</v>
      </c>
      <c r="F13" s="20">
        <f>IF($C$19="Ja",E13*(1+$C$18),E13)</f>
        <v>811.79759999999999</v>
      </c>
      <c r="G13" s="20">
        <f t="shared" ref="G13:V13" si="24">IF($C$19="Ja",F13*(1+$C$18),F13)</f>
        <v>828.03355199999999</v>
      </c>
      <c r="H13" s="20">
        <f t="shared" si="24"/>
        <v>844.59422303999997</v>
      </c>
      <c r="I13" s="20">
        <f t="shared" si="24"/>
        <v>861.48610750080002</v>
      </c>
      <c r="J13" s="20">
        <f t="shared" si="24"/>
        <v>878.71582965081598</v>
      </c>
      <c r="K13" s="20">
        <f t="shared" si="24"/>
        <v>896.29014624383228</v>
      </c>
      <c r="L13" s="20">
        <f t="shared" si="24"/>
        <v>914.2159491687089</v>
      </c>
      <c r="M13" s="20">
        <f t="shared" si="24"/>
        <v>932.50026815208309</v>
      </c>
      <c r="N13" s="20">
        <f t="shared" si="24"/>
        <v>951.15027351512481</v>
      </c>
      <c r="O13" s="20">
        <f t="shared" si="24"/>
        <v>970.17327898542737</v>
      </c>
      <c r="P13" s="20">
        <f t="shared" si="24"/>
        <v>989.57674456513598</v>
      </c>
      <c r="Q13" s="20">
        <f t="shared" si="24"/>
        <v>1009.3682794564387</v>
      </c>
      <c r="R13" s="20">
        <f t="shared" si="24"/>
        <v>1029.5556450455674</v>
      </c>
      <c r="S13" s="20">
        <f t="shared" si="24"/>
        <v>1050.1467579464788</v>
      </c>
      <c r="T13" s="20">
        <f t="shared" si="24"/>
        <v>1071.1496931054085</v>
      </c>
      <c r="U13" s="20">
        <f t="shared" si="24"/>
        <v>1092.5726869675166</v>
      </c>
      <c r="V13" s="20">
        <f t="shared" si="24"/>
        <v>1114.4241407068669</v>
      </c>
    </row>
    <row r="14" spans="2:24" ht="14.55" customHeight="1" x14ac:dyDescent="0.3">
      <c r="B14" s="39" t="s">
        <v>19</v>
      </c>
      <c r="C14" s="7">
        <v>-635.19000000000005</v>
      </c>
      <c r="D14" t="s">
        <v>13</v>
      </c>
      <c r="E14" s="20">
        <f>C14</f>
        <v>-635.19000000000005</v>
      </c>
      <c r="F14" s="20">
        <f>IF($C$19="Ja",E14*(1+$C$18),E14)</f>
        <v>-647.89380000000006</v>
      </c>
      <c r="G14" s="20">
        <f t="shared" ref="G14:V14" si="25">IF($C$19="Ja",F14*(1+$C$18),F14)</f>
        <v>-660.85167600000011</v>
      </c>
      <c r="H14" s="20">
        <f t="shared" si="25"/>
        <v>-674.06870952000008</v>
      </c>
      <c r="I14" s="20">
        <f t="shared" si="25"/>
        <v>-687.55008371040014</v>
      </c>
      <c r="J14" s="20">
        <f t="shared" si="25"/>
        <v>-701.3010853846082</v>
      </c>
      <c r="K14" s="20">
        <f t="shared" si="25"/>
        <v>-715.32710709230037</v>
      </c>
      <c r="L14" s="20">
        <f t="shared" si="25"/>
        <v>-729.63364923414633</v>
      </c>
      <c r="M14" s="20">
        <f t="shared" si="25"/>
        <v>-744.2263222188293</v>
      </c>
      <c r="N14" s="20">
        <f t="shared" si="25"/>
        <v>-759.11084866320584</v>
      </c>
      <c r="O14" s="20">
        <f t="shared" si="25"/>
        <v>-774.29306563646992</v>
      </c>
      <c r="P14" s="20">
        <f t="shared" si="25"/>
        <v>-789.77892694919933</v>
      </c>
      <c r="Q14" s="20">
        <f t="shared" si="25"/>
        <v>-805.57450548818338</v>
      </c>
      <c r="R14" s="20">
        <f t="shared" si="25"/>
        <v>-821.68599559794711</v>
      </c>
      <c r="S14" s="20">
        <f t="shared" si="25"/>
        <v>-838.11971550990609</v>
      </c>
      <c r="T14" s="20">
        <f t="shared" si="25"/>
        <v>-854.88210982010423</v>
      </c>
      <c r="U14" s="20">
        <f t="shared" si="25"/>
        <v>-871.97975201650638</v>
      </c>
      <c r="V14" s="20">
        <f t="shared" si="25"/>
        <v>-889.4193470568365</v>
      </c>
    </row>
    <row r="15" spans="2:24" ht="14.55" customHeight="1" x14ac:dyDescent="0.3">
      <c r="B15" s="36" t="s">
        <v>20</v>
      </c>
      <c r="C15" s="18">
        <v>0.02</v>
      </c>
      <c r="D15" t="s">
        <v>13</v>
      </c>
      <c r="G15" s="20"/>
      <c r="H15" s="20"/>
      <c r="I15" s="20"/>
      <c r="J15" s="20"/>
      <c r="K15" s="20"/>
      <c r="L15" s="20"/>
      <c r="M15" s="20"/>
      <c r="N15" s="20"/>
      <c r="O15" s="20"/>
      <c r="P15" s="20"/>
      <c r="Q15" s="20"/>
      <c r="R15" s="20"/>
      <c r="S15" s="20"/>
      <c r="T15" s="20"/>
      <c r="U15" s="20"/>
      <c r="V15" s="20"/>
    </row>
    <row r="16" spans="2:24" ht="14.55" customHeight="1" x14ac:dyDescent="0.3">
      <c r="B16" s="37" t="s">
        <v>21</v>
      </c>
      <c r="C16" s="18">
        <v>0.03</v>
      </c>
      <c r="D16" t="s">
        <v>13</v>
      </c>
      <c r="G16" s="41"/>
      <c r="H16" s="41"/>
      <c r="I16" s="41"/>
      <c r="J16" s="41"/>
      <c r="K16" s="41"/>
      <c r="L16" s="20"/>
      <c r="M16" s="20"/>
      <c r="N16" s="20"/>
      <c r="O16" s="20"/>
      <c r="P16" s="20"/>
      <c r="Q16" s="20"/>
      <c r="R16" s="20"/>
      <c r="S16" s="20"/>
      <c r="T16" s="20"/>
      <c r="U16" s="20"/>
      <c r="V16" s="20"/>
    </row>
    <row r="17" spans="2:22" ht="14.55" customHeight="1" x14ac:dyDescent="0.3">
      <c r="B17" s="38" t="s">
        <v>22</v>
      </c>
      <c r="C17" s="18">
        <v>0.02</v>
      </c>
      <c r="D17" t="s">
        <v>13</v>
      </c>
      <c r="G17" s="35"/>
      <c r="H17" s="35"/>
      <c r="I17" s="35"/>
      <c r="J17" s="35"/>
      <c r="K17" s="35"/>
      <c r="L17" s="20"/>
      <c r="M17" s="20"/>
      <c r="N17" s="20"/>
      <c r="O17" s="20"/>
      <c r="P17" s="20"/>
      <c r="Q17" s="20"/>
      <c r="R17" s="20"/>
      <c r="S17" s="20"/>
      <c r="T17" s="20"/>
      <c r="U17" s="20"/>
      <c r="V17" s="20"/>
    </row>
    <row r="18" spans="2:22" ht="14.55" customHeight="1" x14ac:dyDescent="0.3">
      <c r="B18" s="39" t="s">
        <v>23</v>
      </c>
      <c r="C18" s="18">
        <v>0.02</v>
      </c>
      <c r="D18" t="s">
        <v>13</v>
      </c>
      <c r="G18" s="20"/>
      <c r="H18" s="20"/>
      <c r="I18" s="20"/>
      <c r="J18" s="20"/>
      <c r="K18" s="20"/>
      <c r="L18" s="20"/>
      <c r="M18" s="20"/>
      <c r="N18" s="20"/>
      <c r="O18" s="20"/>
      <c r="P18" s="20"/>
      <c r="Q18" s="20"/>
      <c r="R18" s="20"/>
      <c r="S18" s="20"/>
      <c r="T18" s="20"/>
      <c r="U18" s="20"/>
      <c r="V18" s="20"/>
    </row>
    <row r="19" spans="2:22" x14ac:dyDescent="0.3">
      <c r="B19" t="s">
        <v>24</v>
      </c>
      <c r="C19" s="7" t="s">
        <v>6</v>
      </c>
    </row>
    <row r="21" spans="2:22" x14ac:dyDescent="0.3">
      <c r="B21" s="2" t="s">
        <v>25</v>
      </c>
      <c r="C21" s="2"/>
      <c r="D21" s="2"/>
    </row>
    <row r="22" spans="2:22" x14ac:dyDescent="0.3">
      <c r="B22" t="s">
        <v>26</v>
      </c>
      <c r="C22" s="6">
        <v>430</v>
      </c>
      <c r="D22" t="s">
        <v>27</v>
      </c>
    </row>
    <row r="23" spans="2:22" x14ac:dyDescent="0.3">
      <c r="B23" t="s">
        <v>28</v>
      </c>
      <c r="E23" s="1">
        <v>1</v>
      </c>
      <c r="F23" s="1">
        <v>1</v>
      </c>
      <c r="G23" s="1"/>
      <c r="H23" s="1"/>
      <c r="I23" s="1"/>
      <c r="J23" s="1"/>
      <c r="K23" s="1"/>
      <c r="L23" s="1"/>
      <c r="M23" s="1"/>
      <c r="N23" s="1"/>
      <c r="O23" s="1"/>
      <c r="P23" s="1"/>
      <c r="Q23" s="1"/>
      <c r="R23" s="1"/>
      <c r="S23" s="1"/>
      <c r="T23" s="1"/>
      <c r="U23" s="1"/>
      <c r="V23" s="1"/>
    </row>
    <row r="24" spans="2:22" x14ac:dyDescent="0.3">
      <c r="B24" t="s">
        <v>29</v>
      </c>
      <c r="C24" s="19">
        <f>AVERAGE(E24:V24)</f>
        <v>0.29999999999999993</v>
      </c>
      <c r="E24" s="16">
        <v>0.3</v>
      </c>
      <c r="F24" s="16">
        <v>0.3</v>
      </c>
      <c r="G24" s="16">
        <v>0.3</v>
      </c>
      <c r="H24" s="16">
        <v>0.3</v>
      </c>
      <c r="I24" s="16">
        <v>0.3</v>
      </c>
      <c r="J24" s="16">
        <v>0.3</v>
      </c>
      <c r="K24" s="16">
        <v>0.3</v>
      </c>
      <c r="L24" s="16">
        <v>0.3</v>
      </c>
      <c r="M24" s="16">
        <v>0.3</v>
      </c>
      <c r="N24" s="16">
        <v>0.3</v>
      </c>
      <c r="O24" s="16">
        <v>0.3</v>
      </c>
      <c r="P24" s="16">
        <v>0.3</v>
      </c>
      <c r="Q24" s="16">
        <v>0.3</v>
      </c>
      <c r="R24" s="16">
        <v>0.3</v>
      </c>
      <c r="S24" s="16">
        <v>0.3</v>
      </c>
      <c r="T24" s="16">
        <v>0.3</v>
      </c>
      <c r="U24" s="16">
        <v>0.3</v>
      </c>
      <c r="V24" s="16">
        <v>0.3</v>
      </c>
    </row>
    <row r="25" spans="2:22" x14ac:dyDescent="0.3">
      <c r="B25" t="s">
        <v>30</v>
      </c>
      <c r="C25" s="6">
        <v>0.5</v>
      </c>
      <c r="D25" t="s">
        <v>31</v>
      </c>
      <c r="E25" s="1">
        <v>1</v>
      </c>
      <c r="F25" s="1">
        <f>E25-($C$25/100)</f>
        <v>0.995</v>
      </c>
      <c r="G25" s="1">
        <f t="shared" ref="G25:V25" si="26">F25-($C$25/100)</f>
        <v>0.99</v>
      </c>
      <c r="H25" s="1">
        <f t="shared" si="26"/>
        <v>0.98499999999999999</v>
      </c>
      <c r="I25" s="1">
        <f t="shared" si="26"/>
        <v>0.98</v>
      </c>
      <c r="J25" s="1">
        <f t="shared" si="26"/>
        <v>0.97499999999999998</v>
      </c>
      <c r="K25" s="1">
        <f t="shared" si="26"/>
        <v>0.97</v>
      </c>
      <c r="L25" s="1">
        <f t="shared" si="26"/>
        <v>0.96499999999999997</v>
      </c>
      <c r="M25" s="1">
        <f t="shared" si="26"/>
        <v>0.96</v>
      </c>
      <c r="N25" s="1">
        <f t="shared" si="26"/>
        <v>0.95499999999999996</v>
      </c>
      <c r="O25" s="1">
        <f t="shared" si="26"/>
        <v>0.95</v>
      </c>
      <c r="P25" s="1">
        <f t="shared" si="26"/>
        <v>0.94499999999999995</v>
      </c>
      <c r="Q25" s="1">
        <f t="shared" si="26"/>
        <v>0.94</v>
      </c>
      <c r="R25" s="1">
        <f t="shared" si="26"/>
        <v>0.93499999999999994</v>
      </c>
      <c r="S25" s="1">
        <f t="shared" si="26"/>
        <v>0.92999999999999994</v>
      </c>
      <c r="T25" s="1">
        <f t="shared" si="26"/>
        <v>0.92499999999999993</v>
      </c>
      <c r="U25" s="1">
        <f t="shared" si="26"/>
        <v>0.91999999999999993</v>
      </c>
      <c r="V25" s="1">
        <f t="shared" si="26"/>
        <v>0.91499999999999992</v>
      </c>
    </row>
    <row r="27" spans="2:22" x14ac:dyDescent="0.3">
      <c r="B27" s="2" t="s">
        <v>32</v>
      </c>
    </row>
    <row r="28" spans="2:22" x14ac:dyDescent="0.3">
      <c r="B28" t="s">
        <v>86</v>
      </c>
      <c r="C28" s="7">
        <v>20</v>
      </c>
      <c r="D28" t="s">
        <v>7</v>
      </c>
      <c r="E28" s="3">
        <f>C28</f>
        <v>20</v>
      </c>
      <c r="F28" s="3">
        <f>E28*(1+$C$32)</f>
        <v>20.399999999999999</v>
      </c>
      <c r="G28" s="3">
        <f t="shared" ref="G28:V28" si="27">F28*(1+$C$32)</f>
        <v>20.808</v>
      </c>
      <c r="H28" s="3">
        <f t="shared" si="27"/>
        <v>21.224160000000001</v>
      </c>
      <c r="I28" s="3">
        <f t="shared" si="27"/>
        <v>21.648643200000002</v>
      </c>
      <c r="J28" s="3">
        <f t="shared" si="27"/>
        <v>22.081616064000002</v>
      </c>
      <c r="K28" s="3">
        <f t="shared" si="27"/>
        <v>22.523248385280002</v>
      </c>
      <c r="L28" s="3">
        <f t="shared" si="27"/>
        <v>22.973713352985602</v>
      </c>
      <c r="M28" s="3">
        <f t="shared" si="27"/>
        <v>23.433187620045313</v>
      </c>
      <c r="N28" s="3">
        <f t="shared" si="27"/>
        <v>23.90185137244622</v>
      </c>
      <c r="O28" s="3">
        <f t="shared" si="27"/>
        <v>24.379888399895144</v>
      </c>
      <c r="P28" s="3">
        <f t="shared" si="27"/>
        <v>24.867486167893048</v>
      </c>
      <c r="Q28" s="3">
        <f t="shared" si="27"/>
        <v>25.364835891250909</v>
      </c>
      <c r="R28" s="3">
        <f t="shared" si="27"/>
        <v>25.872132609075926</v>
      </c>
      <c r="S28" s="3">
        <f t="shared" si="27"/>
        <v>26.389575261257445</v>
      </c>
      <c r="T28" s="3">
        <f t="shared" si="27"/>
        <v>26.917366766482594</v>
      </c>
      <c r="U28" s="3">
        <f t="shared" si="27"/>
        <v>27.455714101812248</v>
      </c>
      <c r="V28" s="3">
        <f t="shared" si="27"/>
        <v>28.004828383848494</v>
      </c>
    </row>
    <row r="29" spans="2:22" x14ac:dyDescent="0.3">
      <c r="B29" t="s">
        <v>87</v>
      </c>
      <c r="C29" s="7">
        <v>80</v>
      </c>
      <c r="D29" t="s">
        <v>7</v>
      </c>
      <c r="E29" s="3">
        <f t="shared" ref="E29:E31" si="28">C29</f>
        <v>80</v>
      </c>
      <c r="F29" s="3">
        <f>E29*(1+$C$32)</f>
        <v>81.599999999999994</v>
      </c>
      <c r="G29" s="3">
        <f t="shared" ref="G29:V29" si="29">F29*(1+$C$32)</f>
        <v>83.231999999999999</v>
      </c>
      <c r="H29" s="3">
        <f t="shared" si="29"/>
        <v>84.896640000000005</v>
      </c>
      <c r="I29" s="3">
        <f t="shared" si="29"/>
        <v>86.594572800000009</v>
      </c>
      <c r="J29" s="3">
        <f t="shared" si="29"/>
        <v>88.326464256000008</v>
      </c>
      <c r="K29" s="3">
        <f t="shared" si="29"/>
        <v>90.092993541120009</v>
      </c>
      <c r="L29" s="3">
        <f t="shared" si="29"/>
        <v>91.894853411942407</v>
      </c>
      <c r="M29" s="3">
        <f t="shared" si="29"/>
        <v>93.732750480181252</v>
      </c>
      <c r="N29" s="3">
        <f t="shared" si="29"/>
        <v>95.607405489784881</v>
      </c>
      <c r="O29" s="3">
        <f t="shared" si="29"/>
        <v>97.519553599580576</v>
      </c>
      <c r="P29" s="3">
        <f t="shared" si="29"/>
        <v>99.469944671572193</v>
      </c>
      <c r="Q29" s="3">
        <f t="shared" si="29"/>
        <v>101.45934356500364</v>
      </c>
      <c r="R29" s="3">
        <f t="shared" si="29"/>
        <v>103.48853043630371</v>
      </c>
      <c r="S29" s="3">
        <f t="shared" si="29"/>
        <v>105.55830104502978</v>
      </c>
      <c r="T29" s="3">
        <f t="shared" si="29"/>
        <v>107.66946706593038</v>
      </c>
      <c r="U29" s="3">
        <f t="shared" si="29"/>
        <v>109.82285640724899</v>
      </c>
      <c r="V29" s="3">
        <f t="shared" si="29"/>
        <v>112.01931353539398</v>
      </c>
    </row>
    <row r="30" spans="2:22" x14ac:dyDescent="0.3">
      <c r="B30" t="s">
        <v>33</v>
      </c>
      <c r="C30" s="7">
        <v>0</v>
      </c>
      <c r="D30" t="s">
        <v>7</v>
      </c>
      <c r="E30" s="3">
        <f>$C$30</f>
        <v>0</v>
      </c>
      <c r="F30" s="3">
        <f t="shared" ref="F30:V30" si="30">$C$30</f>
        <v>0</v>
      </c>
      <c r="G30" s="3">
        <f t="shared" si="30"/>
        <v>0</v>
      </c>
      <c r="H30" s="3">
        <f t="shared" si="30"/>
        <v>0</v>
      </c>
      <c r="I30" s="3">
        <f t="shared" si="30"/>
        <v>0</v>
      </c>
      <c r="J30" s="3">
        <f t="shared" si="30"/>
        <v>0</v>
      </c>
      <c r="K30" s="3">
        <f t="shared" si="30"/>
        <v>0</v>
      </c>
      <c r="L30" s="3">
        <f t="shared" si="30"/>
        <v>0</v>
      </c>
      <c r="M30" s="3">
        <f t="shared" si="30"/>
        <v>0</v>
      </c>
      <c r="N30" s="3">
        <f t="shared" si="30"/>
        <v>0</v>
      </c>
      <c r="O30" s="3">
        <f t="shared" si="30"/>
        <v>0</v>
      </c>
      <c r="P30" s="3">
        <f t="shared" si="30"/>
        <v>0</v>
      </c>
      <c r="Q30" s="3">
        <f t="shared" si="30"/>
        <v>0</v>
      </c>
      <c r="R30" s="3">
        <f t="shared" si="30"/>
        <v>0</v>
      </c>
      <c r="S30" s="3">
        <f t="shared" si="30"/>
        <v>0</v>
      </c>
      <c r="T30" s="3">
        <f t="shared" si="30"/>
        <v>0</v>
      </c>
      <c r="U30" s="3">
        <f t="shared" si="30"/>
        <v>0</v>
      </c>
      <c r="V30" s="3">
        <f t="shared" si="30"/>
        <v>0</v>
      </c>
    </row>
    <row r="31" spans="2:22" x14ac:dyDescent="0.3">
      <c r="B31" t="s">
        <v>25</v>
      </c>
      <c r="C31" s="7">
        <v>1.75</v>
      </c>
      <c r="D31" t="s">
        <v>34</v>
      </c>
      <c r="E31" s="3">
        <f t="shared" si="28"/>
        <v>1.75</v>
      </c>
      <c r="F31" s="3">
        <f>E31</f>
        <v>1.75</v>
      </c>
      <c r="G31" s="3">
        <f t="shared" ref="G31:V31" si="31">F31</f>
        <v>1.75</v>
      </c>
      <c r="H31" s="3">
        <f t="shared" si="31"/>
        <v>1.75</v>
      </c>
      <c r="I31" s="3">
        <f t="shared" si="31"/>
        <v>1.75</v>
      </c>
      <c r="J31" s="3">
        <f t="shared" si="31"/>
        <v>1.75</v>
      </c>
      <c r="K31" s="3">
        <f t="shared" si="31"/>
        <v>1.75</v>
      </c>
      <c r="L31" s="3">
        <f t="shared" si="31"/>
        <v>1.75</v>
      </c>
      <c r="M31" s="3">
        <f t="shared" si="31"/>
        <v>1.75</v>
      </c>
      <c r="N31" s="3">
        <f t="shared" si="31"/>
        <v>1.75</v>
      </c>
      <c r="O31" s="3">
        <f t="shared" si="31"/>
        <v>1.75</v>
      </c>
      <c r="P31" s="3">
        <f t="shared" si="31"/>
        <v>1.75</v>
      </c>
      <c r="Q31" s="3">
        <f t="shared" si="31"/>
        <v>1.75</v>
      </c>
      <c r="R31" s="3">
        <f t="shared" si="31"/>
        <v>1.75</v>
      </c>
      <c r="S31" s="3">
        <f t="shared" si="31"/>
        <v>1.75</v>
      </c>
      <c r="T31" s="3">
        <f t="shared" si="31"/>
        <v>1.75</v>
      </c>
      <c r="U31" s="3">
        <f t="shared" si="31"/>
        <v>1.75</v>
      </c>
      <c r="V31" s="3">
        <f t="shared" si="31"/>
        <v>1.75</v>
      </c>
    </row>
    <row r="32" spans="2:22" x14ac:dyDescent="0.3">
      <c r="B32" t="s">
        <v>35</v>
      </c>
      <c r="C32" s="18">
        <v>0.02</v>
      </c>
      <c r="D32" t="s">
        <v>13</v>
      </c>
    </row>
    <row r="34" spans="2:12" x14ac:dyDescent="0.3">
      <c r="B34" s="2" t="s">
        <v>36</v>
      </c>
    </row>
    <row r="35" spans="2:12" x14ac:dyDescent="0.3">
      <c r="B35" t="s">
        <v>37</v>
      </c>
      <c r="C35" s="17">
        <v>3.5</v>
      </c>
    </row>
    <row r="36" spans="2:12" x14ac:dyDescent="0.3">
      <c r="B36" t="s">
        <v>38</v>
      </c>
      <c r="C36" s="18">
        <v>0.7</v>
      </c>
    </row>
    <row r="40" spans="2:12" x14ac:dyDescent="0.3">
      <c r="L40" s="40"/>
    </row>
  </sheetData>
  <dataValidations count="1">
    <dataValidation type="list" allowBlank="1" showInputMessage="1" showErrorMessage="1" sqref="C19 C6" xr:uid="{E2F78039-8DC1-42E1-93C3-A75003B9A1EE}">
      <formula1>"Ja,Nee"</formula1>
    </dataValidation>
  </dataValidations>
  <pageMargins left="0.7" right="0.7" top="0.75" bottom="0.75" header="0.3" footer="0.3"/>
  <pageSetup paperSize="9" orientation="portrait" verticalDpi="0" r:id="rId1"/>
  <ignoredErrors>
    <ignoredError sqref="E30:V30 E12" formula="1"/>
  </ignoredError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79BCA-0CF4-4E4B-AEA7-E18797F972B2}">
  <dimension ref="B1:AD53"/>
  <sheetViews>
    <sheetView topLeftCell="A4" zoomScaleNormal="100" workbookViewId="0">
      <selection activeCell="L3" sqref="L3"/>
    </sheetView>
  </sheetViews>
  <sheetFormatPr defaultColWidth="8.77734375" defaultRowHeight="14.4" x14ac:dyDescent="0.3"/>
  <cols>
    <col min="2" max="2" width="27.44140625" bestFit="1" customWidth="1"/>
    <col min="3" max="3" width="12.6640625" customWidth="1"/>
    <col min="7" max="10" width="12.33203125" customWidth="1"/>
    <col min="11" max="11" width="18.6640625" customWidth="1"/>
    <col min="12" max="12" width="32" style="12" bestFit="1" customWidth="1"/>
    <col min="13" max="13" width="14.33203125" style="12" customWidth="1"/>
    <col min="14" max="15" width="10.6640625" style="12" customWidth="1"/>
    <col min="16" max="16" width="16.6640625" style="12" customWidth="1"/>
    <col min="17" max="30" width="10.6640625" style="12" customWidth="1"/>
  </cols>
  <sheetData>
    <row r="1" spans="2:30" ht="14.55" customHeight="1" thickBot="1" x14ac:dyDescent="0.35">
      <c r="K1" s="44"/>
    </row>
    <row r="2" spans="2:30" ht="14.55" customHeight="1" x14ac:dyDescent="0.3">
      <c r="F2" s="22"/>
      <c r="G2" s="23" t="s">
        <v>39</v>
      </c>
      <c r="H2" s="23" t="s">
        <v>40</v>
      </c>
      <c r="I2" s="24" t="s">
        <v>41</v>
      </c>
      <c r="J2" s="25" t="s">
        <v>42</v>
      </c>
      <c r="K2" s="45" t="s">
        <v>43</v>
      </c>
      <c r="M2" s="12">
        <v>2025</v>
      </c>
      <c r="N2" s="12">
        <f>M2+1</f>
        <v>2026</v>
      </c>
      <c r="O2" s="12">
        <f t="shared" ref="O2:AD2" si="0">N2+1</f>
        <v>2027</v>
      </c>
      <c r="P2" s="12">
        <f t="shared" si="0"/>
        <v>2028</v>
      </c>
      <c r="Q2" s="12">
        <f t="shared" si="0"/>
        <v>2029</v>
      </c>
      <c r="R2" s="12">
        <f t="shared" si="0"/>
        <v>2030</v>
      </c>
      <c r="S2" s="12">
        <f t="shared" si="0"/>
        <v>2031</v>
      </c>
      <c r="T2" s="12">
        <f t="shared" si="0"/>
        <v>2032</v>
      </c>
      <c r="U2" s="12">
        <f t="shared" si="0"/>
        <v>2033</v>
      </c>
      <c r="V2" s="12">
        <f t="shared" si="0"/>
        <v>2034</v>
      </c>
      <c r="W2" s="12">
        <f t="shared" si="0"/>
        <v>2035</v>
      </c>
      <c r="X2" s="12">
        <f t="shared" si="0"/>
        <v>2036</v>
      </c>
      <c r="Y2" s="12">
        <f t="shared" si="0"/>
        <v>2037</v>
      </c>
      <c r="Z2" s="12">
        <f t="shared" si="0"/>
        <v>2038</v>
      </c>
      <c r="AA2" s="12">
        <f t="shared" si="0"/>
        <v>2039</v>
      </c>
      <c r="AB2" s="12">
        <f t="shared" si="0"/>
        <v>2040</v>
      </c>
      <c r="AC2" s="12">
        <f t="shared" si="0"/>
        <v>2041</v>
      </c>
      <c r="AD2" s="12">
        <f t="shared" si="0"/>
        <v>2042</v>
      </c>
    </row>
    <row r="3" spans="2:30" ht="14.55" customHeight="1" x14ac:dyDescent="0.3">
      <c r="B3" s="2" t="s">
        <v>44</v>
      </c>
      <c r="F3" s="26">
        <v>2025</v>
      </c>
      <c r="G3" s="27">
        <f>$M$20</f>
        <v>2032.7648500000005</v>
      </c>
      <c r="H3" s="27">
        <f>G3/12</f>
        <v>169.39707083333337</v>
      </c>
      <c r="I3" s="28">
        <f>H3-J3</f>
        <v>78.897070833333373</v>
      </c>
      <c r="J3" s="29">
        <f>$M$3+$M$4</f>
        <v>90.5</v>
      </c>
      <c r="K3" s="46">
        <f>$M$21</f>
        <v>195.73237083333333</v>
      </c>
      <c r="L3" s="13" t="s">
        <v>45</v>
      </c>
      <c r="M3" s="14">
        <f>$C$17*(1+(Uitgangspunten!$C$32))^(Scenario!M2-$M$2)</f>
        <v>80</v>
      </c>
      <c r="N3" s="14">
        <f>$C$17*(1+(Uitgangspunten!$C$32))^(Scenario!N2-$M$2)</f>
        <v>81.599999999999994</v>
      </c>
      <c r="O3" s="14">
        <f>$C$17*(1+(Uitgangspunten!$C$32))^(Scenario!O2-$M$2)</f>
        <v>83.231999999999999</v>
      </c>
      <c r="P3" s="14">
        <f>$C$17*(1+(Uitgangspunten!$C$32))^(Scenario!P2-$M$2)</f>
        <v>84.896639999999991</v>
      </c>
      <c r="Q3" s="14">
        <f>$C$17*(1+(Uitgangspunten!$C$32))^(Scenario!Q2-$M$2)</f>
        <v>86.594572799999995</v>
      </c>
      <c r="R3" s="14">
        <f>$C$17*(1+(Uitgangspunten!$C$32))^(Scenario!R2-$M$2)</f>
        <v>88.326464256000008</v>
      </c>
      <c r="S3" s="14">
        <f>$C$17*(1+(Uitgangspunten!$C$32))^(Scenario!S2-$M$2)</f>
        <v>90.092993541120009</v>
      </c>
      <c r="T3" s="14">
        <f>$C$17*(1+(Uitgangspunten!$C$32))^(Scenario!T2-$M$2)</f>
        <v>91.894853411942393</v>
      </c>
      <c r="U3" s="14">
        <f>$C$17*(1+(Uitgangspunten!$C$32))^(Scenario!U2-$M$2)</f>
        <v>93.732750480181238</v>
      </c>
      <c r="V3" s="14">
        <f>$C$17*(1+(Uitgangspunten!$C$32))^(Scenario!V2-$M$2)</f>
        <v>95.607405489784867</v>
      </c>
      <c r="W3" s="14">
        <f>$C$17*(1+(Uitgangspunten!$C$32))^(Scenario!W2-$M$2)</f>
        <v>97.519553599580576</v>
      </c>
      <c r="X3" s="14">
        <f>$C$17*(1+(Uitgangspunten!$C$32))^(Scenario!X2-$M$2)</f>
        <v>99.469944671572165</v>
      </c>
      <c r="Y3" s="14">
        <f>$C$17*(1+(Uitgangspunten!$C$32))^(Scenario!Y2-$M$2)</f>
        <v>101.45934356500362</v>
      </c>
      <c r="Z3" s="14">
        <f>$C$17*(1+(Uitgangspunten!$C$32))^(Scenario!Z2-$M$2)</f>
        <v>103.48853043630369</v>
      </c>
      <c r="AA3" s="14">
        <f>$C$17*(1+(Uitgangspunten!$C$32))^(Scenario!AA2-$M$2)</f>
        <v>105.55830104502976</v>
      </c>
      <c r="AB3" s="14">
        <f>$C$17*(1+(Uitgangspunten!$C$32))^(Scenario!AB2-$M$2)</f>
        <v>107.66946706593033</v>
      </c>
      <c r="AC3" s="14">
        <f>$C$17*(1+(Uitgangspunten!$C$32))^(Scenario!AC2-$M$2)</f>
        <v>109.82285640724896</v>
      </c>
      <c r="AD3" s="14">
        <f>$C$17*(1+(Uitgangspunten!$C$32))^(Scenario!AD2-$M$2)</f>
        <v>112.01931353539395</v>
      </c>
    </row>
    <row r="4" spans="2:30" ht="14.55" customHeight="1" x14ac:dyDescent="0.3">
      <c r="B4" t="s">
        <v>46</v>
      </c>
      <c r="C4" s="9">
        <v>2000</v>
      </c>
      <c r="D4" t="s">
        <v>3</v>
      </c>
      <c r="F4" s="26">
        <f>F3+1</f>
        <v>2026</v>
      </c>
      <c r="G4" s="27">
        <f>$N$20</f>
        <v>2073.8760918600001</v>
      </c>
      <c r="H4" s="27">
        <f t="shared" ref="H4:H20" si="1">G4/12</f>
        <v>172.823007655</v>
      </c>
      <c r="I4" s="28">
        <f t="shared" ref="I4:I20" si="2">H4-J4</f>
        <v>80.723007655000004</v>
      </c>
      <c r="J4" s="29">
        <f>$N$3+$N$4</f>
        <v>92.1</v>
      </c>
      <c r="K4" s="46">
        <f>$N$21</f>
        <v>201.12154741666669</v>
      </c>
      <c r="L4" s="13" t="s">
        <v>47</v>
      </c>
      <c r="M4" s="14">
        <f>$C$8*Uitgangspunten!$C$31</f>
        <v>10.5</v>
      </c>
      <c r="N4" s="14">
        <f>$C$8*Uitgangspunten!$C$31</f>
        <v>10.5</v>
      </c>
      <c r="O4" s="14">
        <f>$C$8*Uitgangspunten!$C$31</f>
        <v>10.5</v>
      </c>
      <c r="P4" s="14">
        <f>$C$8*Uitgangspunten!$C$31</f>
        <v>10.5</v>
      </c>
      <c r="Q4" s="14">
        <f>$C$8*Uitgangspunten!$C$31</f>
        <v>10.5</v>
      </c>
      <c r="R4" s="14">
        <f>$C$8*Uitgangspunten!$C$31</f>
        <v>10.5</v>
      </c>
      <c r="S4" s="14">
        <f>$C$8*Uitgangspunten!$C$31</f>
        <v>10.5</v>
      </c>
      <c r="T4" s="14">
        <f>$C$8*Uitgangspunten!$C$31</f>
        <v>10.5</v>
      </c>
      <c r="U4" s="14">
        <f>$C$8*Uitgangspunten!$C$31</f>
        <v>10.5</v>
      </c>
      <c r="V4" s="14">
        <f>$C$8*Uitgangspunten!$C$31</f>
        <v>10.5</v>
      </c>
      <c r="W4" s="14">
        <f>$C$8*Uitgangspunten!$C$31</f>
        <v>10.5</v>
      </c>
      <c r="X4" s="14">
        <f>$C$8*Uitgangspunten!$C$31</f>
        <v>10.5</v>
      </c>
      <c r="Y4" s="14">
        <f>$C$8*Uitgangspunten!$C$31</f>
        <v>10.5</v>
      </c>
      <c r="Z4" s="14">
        <f>$C$8*Uitgangspunten!$C$31</f>
        <v>10.5</v>
      </c>
      <c r="AA4" s="14">
        <f>$C$8*Uitgangspunten!$C$31</f>
        <v>10.5</v>
      </c>
      <c r="AB4" s="14">
        <f>$C$8*Uitgangspunten!$C$31</f>
        <v>10.5</v>
      </c>
      <c r="AC4" s="14">
        <f>$C$8*Uitgangspunten!$C$31</f>
        <v>10.5</v>
      </c>
      <c r="AD4" s="14">
        <f>$C$8*Uitgangspunten!$C$31</f>
        <v>10.5</v>
      </c>
    </row>
    <row r="5" spans="2:30" ht="14.55" customHeight="1" x14ac:dyDescent="0.3">
      <c r="B5" t="s">
        <v>48</v>
      </c>
      <c r="C5" s="9">
        <v>1450</v>
      </c>
      <c r="D5" t="s">
        <v>9</v>
      </c>
      <c r="F5" s="26">
        <f t="shared" ref="F5:F20" si="3">F4+1</f>
        <v>2027</v>
      </c>
      <c r="G5" s="27">
        <f>$O$20</f>
        <v>2281.6104717960002</v>
      </c>
      <c r="H5" s="27">
        <f t="shared" si="1"/>
        <v>190.13420598300002</v>
      </c>
      <c r="I5" s="28">
        <f t="shared" si="2"/>
        <v>96.402205983000016</v>
      </c>
      <c r="J5" s="29">
        <f>$O$3+$O$4</f>
        <v>93.731999999999999</v>
      </c>
      <c r="K5" s="46">
        <f>$O$21</f>
        <v>206.66274340666664</v>
      </c>
      <c r="L5" s="13" t="s">
        <v>49</v>
      </c>
      <c r="M5" s="15">
        <f>$C$9-($C$10*Uitgangspunten!E25*Uitgangspunten!E24)</f>
        <v>5446.2571428571428</v>
      </c>
      <c r="N5" s="15">
        <f>$C$9-($C$10*Uitgangspunten!F25*Uitgangspunten!F24)</f>
        <v>5449.7401428571429</v>
      </c>
      <c r="O5" s="15">
        <f>$C$9-($C$10*Uitgangspunten!G25*Uitgangspunten!G24)</f>
        <v>5453.2231428571431</v>
      </c>
      <c r="P5" s="15">
        <f>$C$9-($C$10*Uitgangspunten!H25*Uitgangspunten!H24)</f>
        <v>5456.7061428571433</v>
      </c>
      <c r="Q5" s="15">
        <f>$C$9-($C$10*Uitgangspunten!I25*Uitgangspunten!I24)</f>
        <v>5460.1891428571435</v>
      </c>
      <c r="R5" s="15">
        <f>$C$9-($C$10*Uitgangspunten!J25*Uitgangspunten!J24)</f>
        <v>5463.6721428571436</v>
      </c>
      <c r="S5" s="15">
        <f>$C$9-($C$10*Uitgangspunten!K25*Uitgangspunten!K24)</f>
        <v>5467.1551428571429</v>
      </c>
      <c r="T5" s="15">
        <f>$C$9-($C$10*Uitgangspunten!L25*Uitgangspunten!L24)</f>
        <v>5470.6381428571431</v>
      </c>
      <c r="U5" s="15">
        <f>$C$9-($C$10*Uitgangspunten!M25*Uitgangspunten!M24)</f>
        <v>5474.1211428571432</v>
      </c>
      <c r="V5" s="15">
        <f>$C$9-($C$10*Uitgangspunten!N25*Uitgangspunten!N24)</f>
        <v>5477.6041428571434</v>
      </c>
      <c r="W5" s="15">
        <f>$C$9-($C$10*Uitgangspunten!O25*Uitgangspunten!O24)</f>
        <v>5481.0871428571427</v>
      </c>
      <c r="X5" s="15">
        <f>$C$9-($C$10*Uitgangspunten!P25*Uitgangspunten!P24)</f>
        <v>5484.5701428571429</v>
      </c>
      <c r="Y5" s="15">
        <f>$C$9-($C$10*Uitgangspunten!Q25*Uitgangspunten!Q24)</f>
        <v>5488.053142857143</v>
      </c>
      <c r="Z5" s="15">
        <f>$C$9-($C$10*Uitgangspunten!R25*Uitgangspunten!R24)</f>
        <v>5491.5361428571432</v>
      </c>
      <c r="AA5" s="15">
        <f>$C$9-($C$10*Uitgangspunten!S25*Uitgangspunten!S24)</f>
        <v>5495.0191428571434</v>
      </c>
      <c r="AB5" s="15">
        <f>$C$9-($C$10*Uitgangspunten!T25*Uitgangspunten!T24)</f>
        <v>5498.5021428571436</v>
      </c>
      <c r="AC5" s="15">
        <f>$C$9-($C$10*Uitgangspunten!U25*Uitgangspunten!U24)</f>
        <v>5501.9851428571428</v>
      </c>
      <c r="AD5" s="15">
        <f>$C$9-($C$10*Uitgangspunten!V25*Uitgangspunten!V24)</f>
        <v>5505.468142857143</v>
      </c>
    </row>
    <row r="6" spans="2:30" ht="14.55" customHeight="1" x14ac:dyDescent="0.3">
      <c r="F6" s="26">
        <f t="shared" si="3"/>
        <v>2028</v>
      </c>
      <c r="G6" s="27">
        <f>$P$20</f>
        <v>2326.9650349600806</v>
      </c>
      <c r="H6" s="27">
        <f t="shared" si="1"/>
        <v>193.91375291334006</v>
      </c>
      <c r="I6" s="28">
        <f t="shared" si="2"/>
        <v>98.517112913340071</v>
      </c>
      <c r="J6" s="29">
        <f>$P$3+$P$4</f>
        <v>95.396639999999991</v>
      </c>
      <c r="K6" s="46">
        <f>$P$21</f>
        <v>212.36032626771669</v>
      </c>
      <c r="L6" s="13" t="s">
        <v>50</v>
      </c>
      <c r="M6" s="15">
        <f>M5-M8</f>
        <v>3820.8571428571431</v>
      </c>
      <c r="N6" s="15">
        <f t="shared" ref="N6:AD6" si="4">N5-N8</f>
        <v>3832.4671428571428</v>
      </c>
      <c r="O6" s="15">
        <f t="shared" si="4"/>
        <v>5453.2231428571431</v>
      </c>
      <c r="P6" s="15">
        <f t="shared" si="4"/>
        <v>5456.7061428571433</v>
      </c>
      <c r="Q6" s="15">
        <f t="shared" si="4"/>
        <v>5460.1891428571435</v>
      </c>
      <c r="R6" s="15">
        <f t="shared" si="4"/>
        <v>5463.6721428571436</v>
      </c>
      <c r="S6" s="15">
        <f t="shared" si="4"/>
        <v>5467.1551428571429</v>
      </c>
      <c r="T6" s="15">
        <f t="shared" si="4"/>
        <v>5470.6381428571431</v>
      </c>
      <c r="U6" s="15">
        <f t="shared" si="4"/>
        <v>5474.1211428571432</v>
      </c>
      <c r="V6" s="15">
        <f t="shared" si="4"/>
        <v>5477.6041428571434</v>
      </c>
      <c r="W6" s="15">
        <f t="shared" si="4"/>
        <v>5481.0871428571427</v>
      </c>
      <c r="X6" s="15">
        <f t="shared" si="4"/>
        <v>5484.5701428571429</v>
      </c>
      <c r="Y6" s="15">
        <f t="shared" si="4"/>
        <v>5488.053142857143</v>
      </c>
      <c r="Z6" s="15">
        <f t="shared" si="4"/>
        <v>5491.5361428571432</v>
      </c>
      <c r="AA6" s="15">
        <f t="shared" si="4"/>
        <v>5495.0191428571434</v>
      </c>
      <c r="AB6" s="15">
        <f t="shared" si="4"/>
        <v>5498.5021428571436</v>
      </c>
      <c r="AC6" s="15">
        <f t="shared" si="4"/>
        <v>5501.9851428571428</v>
      </c>
      <c r="AD6" s="15">
        <f t="shared" si="4"/>
        <v>5505.468142857143</v>
      </c>
    </row>
    <row r="7" spans="2:30" ht="14.55" customHeight="1" x14ac:dyDescent="0.3">
      <c r="B7" s="2" t="s">
        <v>36</v>
      </c>
      <c r="C7" s="6" t="s">
        <v>85</v>
      </c>
      <c r="F7" s="26">
        <f t="shared" si="3"/>
        <v>2029</v>
      </c>
      <c r="G7" s="27">
        <f>$Q$20</f>
        <v>2373.2715364620053</v>
      </c>
      <c r="H7" s="27">
        <f t="shared" si="1"/>
        <v>197.77262803850044</v>
      </c>
      <c r="I7" s="28">
        <f t="shared" si="2"/>
        <v>100.67805523850045</v>
      </c>
      <c r="J7" s="29">
        <f>$Q$3+$Q$4</f>
        <v>97.094572799999995</v>
      </c>
      <c r="K7" s="46">
        <f>$Q$21</f>
        <v>218.2187906257752</v>
      </c>
      <c r="L7" s="13" t="s">
        <v>51</v>
      </c>
      <c r="M7" s="15">
        <f>$C$10*Uitgangspunten!E25*(1-Uitgangspunten!E24)*Uitgangspunten!E23</f>
        <v>1625.3999999999999</v>
      </c>
      <c r="N7" s="15">
        <f>$C$10*Uitgangspunten!F25*(1-Uitgangspunten!F24)*Uitgangspunten!F23</f>
        <v>1617.2729999999999</v>
      </c>
      <c r="O7" s="15">
        <f>$C$10*Uitgangspunten!G25*(1-Uitgangspunten!G24)*Uitgangspunten!G23</f>
        <v>0</v>
      </c>
      <c r="P7" s="15">
        <f>$C$10*Uitgangspunten!H25*(1-Uitgangspunten!H24)*Uitgangspunten!H23</f>
        <v>0</v>
      </c>
      <c r="Q7" s="15">
        <f>$C$10*Uitgangspunten!I25*(1-Uitgangspunten!I24)*Uitgangspunten!I23</f>
        <v>0</v>
      </c>
      <c r="R7" s="15">
        <f>$C$10*Uitgangspunten!J25*(1-Uitgangspunten!J24)*Uitgangspunten!J23</f>
        <v>0</v>
      </c>
      <c r="S7" s="15">
        <f>$C$10*Uitgangspunten!K25*(1-Uitgangspunten!K24)*Uitgangspunten!K23</f>
        <v>0</v>
      </c>
      <c r="T7" s="15">
        <f>$C$10*Uitgangspunten!L25*(1-Uitgangspunten!L24)*Uitgangspunten!L23</f>
        <v>0</v>
      </c>
      <c r="U7" s="15">
        <f>$C$10*Uitgangspunten!M25*(1-Uitgangspunten!M24)*Uitgangspunten!M23</f>
        <v>0</v>
      </c>
      <c r="V7" s="15">
        <f>$C$10*Uitgangspunten!N25*(1-Uitgangspunten!N24)*Uitgangspunten!N23</f>
        <v>0</v>
      </c>
      <c r="W7" s="15">
        <f>$C$10*Uitgangspunten!O25*(1-Uitgangspunten!O24)*Uitgangspunten!O23</f>
        <v>0</v>
      </c>
      <c r="X7" s="15">
        <f>$C$10*Uitgangspunten!P25*(1-Uitgangspunten!P24)*Uitgangspunten!P23</f>
        <v>0</v>
      </c>
      <c r="Y7" s="15">
        <f>$C$10*Uitgangspunten!Q25*(1-Uitgangspunten!Q24)*Uitgangspunten!Q23</f>
        <v>0</v>
      </c>
      <c r="Z7" s="15">
        <f>$C$10*Uitgangspunten!R25*(1-Uitgangspunten!R24)*Uitgangspunten!R23</f>
        <v>0</v>
      </c>
      <c r="AA7" s="15">
        <f>$C$10*Uitgangspunten!S25*(1-Uitgangspunten!S24)*Uitgangspunten!S23</f>
        <v>0</v>
      </c>
      <c r="AB7" s="15">
        <f>$C$10*Uitgangspunten!T25*(1-Uitgangspunten!T24)*Uitgangspunten!T23</f>
        <v>0</v>
      </c>
      <c r="AC7" s="15">
        <f>$C$10*Uitgangspunten!U25*(1-Uitgangspunten!U24)*Uitgangspunten!U23</f>
        <v>0</v>
      </c>
      <c r="AD7" s="15">
        <f>$C$10*Uitgangspunten!V25*(1-Uitgangspunten!V24)*Uitgangspunten!V23</f>
        <v>0</v>
      </c>
    </row>
    <row r="8" spans="2:30" ht="14.55" customHeight="1" x14ac:dyDescent="0.3">
      <c r="B8" s="2" t="s">
        <v>52</v>
      </c>
      <c r="C8" s="21">
        <v>6</v>
      </c>
      <c r="F8" s="26">
        <f t="shared" si="3"/>
        <v>2030</v>
      </c>
      <c r="G8" s="27">
        <f>$R$20</f>
        <v>2420.5499120100239</v>
      </c>
      <c r="H8" s="27">
        <f t="shared" si="1"/>
        <v>201.712492667502</v>
      </c>
      <c r="I8" s="28">
        <f t="shared" si="2"/>
        <v>102.886028411502</v>
      </c>
      <c r="J8" s="29">
        <f>$R$3+$R$4</f>
        <v>98.826464256000008</v>
      </c>
      <c r="K8" s="46">
        <f>$R$21</f>
        <v>224.24276200597603</v>
      </c>
      <c r="L8" s="13" t="s">
        <v>53</v>
      </c>
      <c r="M8" s="15">
        <f t="shared" ref="M8:AD8" si="5">IF(M7&gt;M5,M5,M7)</f>
        <v>1625.3999999999999</v>
      </c>
      <c r="N8" s="15">
        <f t="shared" si="5"/>
        <v>1617.2729999999999</v>
      </c>
      <c r="O8" s="15">
        <f t="shared" si="5"/>
        <v>0</v>
      </c>
      <c r="P8" s="15">
        <f t="shared" si="5"/>
        <v>0</v>
      </c>
      <c r="Q8" s="15">
        <f t="shared" si="5"/>
        <v>0</v>
      </c>
      <c r="R8" s="15">
        <f t="shared" si="5"/>
        <v>0</v>
      </c>
      <c r="S8" s="15">
        <f t="shared" si="5"/>
        <v>0</v>
      </c>
      <c r="T8" s="15">
        <f t="shared" si="5"/>
        <v>0</v>
      </c>
      <c r="U8" s="15">
        <f t="shared" si="5"/>
        <v>0</v>
      </c>
      <c r="V8" s="15">
        <f t="shared" si="5"/>
        <v>0</v>
      </c>
      <c r="W8" s="15">
        <f t="shared" si="5"/>
        <v>0</v>
      </c>
      <c r="X8" s="15">
        <f t="shared" si="5"/>
        <v>0</v>
      </c>
      <c r="Y8" s="15">
        <f t="shared" si="5"/>
        <v>0</v>
      </c>
      <c r="Z8" s="15">
        <f t="shared" si="5"/>
        <v>0</v>
      </c>
      <c r="AA8" s="15">
        <f t="shared" si="5"/>
        <v>0</v>
      </c>
      <c r="AB8" s="15">
        <f t="shared" si="5"/>
        <v>0</v>
      </c>
      <c r="AC8" s="15">
        <f t="shared" si="5"/>
        <v>0</v>
      </c>
      <c r="AD8" s="15">
        <f t="shared" si="5"/>
        <v>0</v>
      </c>
    </row>
    <row r="9" spans="2:30" ht="14.55" customHeight="1" x14ac:dyDescent="0.3">
      <c r="B9" s="2" t="s">
        <v>54</v>
      </c>
      <c r="C9" s="11" cm="1">
        <f t="array" ref="C9">_xlfn.IFS(C7="Hybride",C4+(C5*Uitgangspunten!C36*10/Uitgangspunten!C35),C7="All electric",C4+(C5*10/Uitgangspunten!C35),C7="Geen",C4,C7="Warmtenet",C4)</f>
        <v>6142.8571428571431</v>
      </c>
      <c r="D9" t="s">
        <v>3</v>
      </c>
      <c r="F9" s="26">
        <f t="shared" si="3"/>
        <v>2031</v>
      </c>
      <c r="G9" s="27">
        <f>$S$20</f>
        <v>2468.8205139653764</v>
      </c>
      <c r="H9" s="27">
        <f t="shared" si="1"/>
        <v>205.73504283044804</v>
      </c>
      <c r="I9" s="28">
        <f t="shared" si="2"/>
        <v>105.14204928932803</v>
      </c>
      <c r="J9" s="29">
        <f>$S$3+$S$4</f>
        <v>100.59299354112001</v>
      </c>
      <c r="K9" s="46">
        <f>$S$21</f>
        <v>230.43700068081139</v>
      </c>
      <c r="L9" s="13" t="s">
        <v>55</v>
      </c>
      <c r="M9" s="15">
        <f>$C$10*Uitgangspunten!E25*(1-Uitgangspunten!E24)-M8</f>
        <v>0</v>
      </c>
      <c r="N9" s="15">
        <f>$C$10*Uitgangspunten!F25*(1-Uitgangspunten!F24)-N8</f>
        <v>0</v>
      </c>
      <c r="O9" s="15">
        <f>$C$10*Uitgangspunten!G25*(1-Uitgangspunten!G24)-O8</f>
        <v>1609.146</v>
      </c>
      <c r="P9" s="15">
        <f>$C$10*Uitgangspunten!H25*(1-Uitgangspunten!H24)-P8</f>
        <v>1601.019</v>
      </c>
      <c r="Q9" s="15">
        <f>$C$10*Uitgangspunten!I25*(1-Uitgangspunten!I24)-Q8</f>
        <v>1592.8919999999998</v>
      </c>
      <c r="R9" s="15">
        <f>$C$10*Uitgangspunten!J25*(1-Uitgangspunten!J24)-R8</f>
        <v>1584.7649999999999</v>
      </c>
      <c r="S9" s="15">
        <f>$C$10*Uitgangspunten!K25*(1-Uitgangspunten!K24)-S8</f>
        <v>1576.6379999999999</v>
      </c>
      <c r="T9" s="15">
        <f>$C$10*Uitgangspunten!L25*(1-Uitgangspunten!L24)-T8</f>
        <v>1568.511</v>
      </c>
      <c r="U9" s="15">
        <f>$C$10*Uitgangspunten!M25*(1-Uitgangspunten!M24)-U8</f>
        <v>1560.3839999999998</v>
      </c>
      <c r="V9" s="15">
        <f>$C$10*Uitgangspunten!N25*(1-Uitgangspunten!N24)-V8</f>
        <v>1552.2569999999998</v>
      </c>
      <c r="W9" s="15">
        <f>$C$10*Uitgangspunten!O25*(1-Uitgangspunten!O24)-W8</f>
        <v>1544.1299999999999</v>
      </c>
      <c r="X9" s="15">
        <f>$C$10*Uitgangspunten!P25*(1-Uitgangspunten!P24)-X8</f>
        <v>1536.0029999999999</v>
      </c>
      <c r="Y9" s="15">
        <f>$C$10*Uitgangspunten!Q25*(1-Uitgangspunten!Q24)-Y8</f>
        <v>1527.8759999999997</v>
      </c>
      <c r="Z9" s="15">
        <f>$C$10*Uitgangspunten!R25*(1-Uitgangspunten!R24)-Z8</f>
        <v>1519.7489999999998</v>
      </c>
      <c r="AA9" s="15">
        <f>$C$10*Uitgangspunten!S25*(1-Uitgangspunten!S24)-AA8</f>
        <v>1511.6219999999998</v>
      </c>
      <c r="AB9" s="15">
        <f>$C$10*Uitgangspunten!T25*(1-Uitgangspunten!T24)-AB8</f>
        <v>1503.4949999999999</v>
      </c>
      <c r="AC9" s="15">
        <f>$C$10*Uitgangspunten!U25*(1-Uitgangspunten!U24)-AC8</f>
        <v>1495.3679999999997</v>
      </c>
      <c r="AD9" s="15">
        <f>$C$10*Uitgangspunten!V25*(1-Uitgangspunten!V24)-AD8</f>
        <v>1487.2409999999998</v>
      </c>
    </row>
    <row r="10" spans="2:30" ht="14.55" customHeight="1" x14ac:dyDescent="0.3">
      <c r="B10" s="2" t="s">
        <v>56</v>
      </c>
      <c r="C10" s="11">
        <f>C8*Uitgangspunten!C22*0.9</f>
        <v>2322</v>
      </c>
      <c r="D10" t="s">
        <v>3</v>
      </c>
      <c r="F10" s="26">
        <f t="shared" si="3"/>
        <v>2032</v>
      </c>
      <c r="G10" s="27">
        <f>$T$20</f>
        <v>2518.1041200341406</v>
      </c>
      <c r="H10" s="27">
        <f t="shared" si="1"/>
        <v>209.84201000284506</v>
      </c>
      <c r="I10" s="28">
        <f t="shared" si="2"/>
        <v>107.44715659090267</v>
      </c>
      <c r="J10" s="29">
        <f>$T$3+$T$4</f>
        <v>102.39485341194239</v>
      </c>
      <c r="K10" s="46">
        <f>$T$21</f>
        <v>236.80640563218495</v>
      </c>
      <c r="L10" s="13" t="s">
        <v>57</v>
      </c>
      <c r="M10" s="15">
        <f>$C$10*Uitgangspunten!E25*(1-Uitgangspunten!E24)</f>
        <v>1625.3999999999999</v>
      </c>
      <c r="N10" s="15">
        <f>$C$10*Uitgangspunten!F25*(1-Uitgangspunten!F24)</f>
        <v>1617.2729999999999</v>
      </c>
      <c r="O10" s="15">
        <f>$C$10*Uitgangspunten!G25*(1-Uitgangspunten!G24)</f>
        <v>1609.146</v>
      </c>
      <c r="P10" s="15">
        <f>$C$10*Uitgangspunten!H25*(1-Uitgangspunten!H24)</f>
        <v>1601.019</v>
      </c>
      <c r="Q10" s="15">
        <f>$C$10*Uitgangspunten!I25*(1-Uitgangspunten!I24)</f>
        <v>1592.8919999999998</v>
      </c>
      <c r="R10" s="15">
        <f>$C$10*Uitgangspunten!J25*(1-Uitgangspunten!J24)</f>
        <v>1584.7649999999999</v>
      </c>
      <c r="S10" s="15">
        <f>$C$10*Uitgangspunten!K25*(1-Uitgangspunten!K24)</f>
        <v>1576.6379999999999</v>
      </c>
      <c r="T10" s="15">
        <f>$C$10*Uitgangspunten!L25*(1-Uitgangspunten!L24)</f>
        <v>1568.511</v>
      </c>
      <c r="U10" s="15">
        <f>$C$10*Uitgangspunten!M25*(1-Uitgangspunten!M24)</f>
        <v>1560.3839999999998</v>
      </c>
      <c r="V10" s="15">
        <f>$C$10*Uitgangspunten!N25*(1-Uitgangspunten!N24)</f>
        <v>1552.2569999999998</v>
      </c>
      <c r="W10" s="15">
        <f>$C$10*Uitgangspunten!O25*(1-Uitgangspunten!O24)</f>
        <v>1544.1299999999999</v>
      </c>
      <c r="X10" s="15">
        <f>$C$10*Uitgangspunten!P25*(1-Uitgangspunten!P24)</f>
        <v>1536.0029999999999</v>
      </c>
      <c r="Y10" s="15">
        <f>$C$10*Uitgangspunten!Q25*(1-Uitgangspunten!Q24)</f>
        <v>1527.8759999999997</v>
      </c>
      <c r="Z10" s="15">
        <f>$C$10*Uitgangspunten!R25*(1-Uitgangspunten!R24)</f>
        <v>1519.7489999999998</v>
      </c>
      <c r="AA10" s="15">
        <f>$C$10*Uitgangspunten!S25*(1-Uitgangspunten!S24)</f>
        <v>1511.6219999999998</v>
      </c>
      <c r="AB10" s="15">
        <f>$C$10*Uitgangspunten!T25*(1-Uitgangspunten!T24)</f>
        <v>1503.4949999999999</v>
      </c>
      <c r="AC10" s="15">
        <f>$C$10*Uitgangspunten!U25*(1-Uitgangspunten!U24)</f>
        <v>1495.3679999999997</v>
      </c>
      <c r="AD10" s="15">
        <f>$C$10*Uitgangspunten!V25*(1-Uitgangspunten!V24)</f>
        <v>1487.2409999999998</v>
      </c>
    </row>
    <row r="11" spans="2:30" ht="14.55" customHeight="1" x14ac:dyDescent="0.3">
      <c r="B11" s="2" t="s">
        <v>58</v>
      </c>
      <c r="C11" s="10">
        <f>C10*(1-(Uitgangspunten!C24))</f>
        <v>1625.4</v>
      </c>
      <c r="D11" t="s">
        <v>3</v>
      </c>
      <c r="F11" s="26">
        <f t="shared" si="3"/>
        <v>2033</v>
      </c>
      <c r="G11" s="27">
        <f>$U$20</f>
        <v>2568.4219421400685</v>
      </c>
      <c r="H11" s="27">
        <f t="shared" si="1"/>
        <v>214.03516184500572</v>
      </c>
      <c r="I11" s="28">
        <f t="shared" si="2"/>
        <v>109.80241136482448</v>
      </c>
      <c r="J11" s="29">
        <f>$U$3+$U$4</f>
        <v>104.23275048018124</v>
      </c>
      <c r="K11" s="46">
        <f>$U$21</f>
        <v>243.35601863071864</v>
      </c>
      <c r="L11" s="13" t="s">
        <v>59</v>
      </c>
      <c r="M11" s="14" cm="1">
        <f t="array" ref="M11">_xlfn.IFS(M10&lt;5,0,M10&lt;1000,4,M10&lt;2000,12.5,M10&lt;3000,21,M10&lt;4000,29,M10&lt;5000,37.5,M10&gt;5000,46)</f>
        <v>12.5</v>
      </c>
      <c r="N11" s="14" cm="1">
        <f t="array" ref="N11">_xlfn.IFS(N10&lt;5,0,N10&lt;1000,4,N10&lt;2000,12.5,N10&lt;3000,21,N10&lt;4000,29,N10&lt;5000,37.5,N10&gt;5000,46)</f>
        <v>12.5</v>
      </c>
      <c r="O11" s="14" cm="1">
        <f t="array" ref="O11">_xlfn.IFS(O10&lt;5,0,O10&lt;1000,4,O10&lt;2000,12.5,O10&lt;3000,21,O10&lt;4000,29,O10&lt;5000,37.5,O10&gt;5000,46)</f>
        <v>12.5</v>
      </c>
      <c r="P11" s="14" cm="1">
        <f t="array" ref="P11">_xlfn.IFS(P10&lt;5,0,P10&lt;1000,4,P10&lt;2000,12.5,P10&lt;3000,21,P10&lt;4000,29,P10&lt;5000,37.5,P10&gt;5000,46)</f>
        <v>12.5</v>
      </c>
      <c r="Q11" s="14" cm="1">
        <f t="array" ref="Q11">_xlfn.IFS(Q10&lt;5,0,Q10&lt;1000,4,Q10&lt;2000,12.5,Q10&lt;3000,21,Q10&lt;4000,29,Q10&lt;5000,37.5,Q10&gt;5000,46)</f>
        <v>12.5</v>
      </c>
      <c r="R11" s="14" cm="1">
        <f t="array" ref="R11">_xlfn.IFS(R10&lt;5,0,R10&lt;1000,4,R10&lt;2000,12.5,R10&lt;3000,21,R10&lt;4000,29,R10&lt;5000,37.5,R10&gt;5000,46)</f>
        <v>12.5</v>
      </c>
      <c r="S11" s="14" cm="1">
        <f t="array" ref="S11">_xlfn.IFS(S10&lt;5,0,S10&lt;1000,4,S10&lt;2000,12.5,S10&lt;3000,21,S10&lt;4000,29,S10&lt;5000,37.5,S10&gt;5000,46)</f>
        <v>12.5</v>
      </c>
      <c r="T11" s="14" cm="1">
        <f t="array" ref="T11">_xlfn.IFS(T10&lt;5,0,T10&lt;1000,4,T10&lt;2000,12.5,T10&lt;3000,21,T10&lt;4000,29,T10&lt;5000,37.5,T10&gt;5000,46)</f>
        <v>12.5</v>
      </c>
      <c r="U11" s="14" cm="1">
        <f t="array" ref="U11">_xlfn.IFS(U10&lt;5,0,U10&lt;1000,4,U10&lt;2000,12.5,U10&lt;3000,21,U10&lt;4000,29,U10&lt;5000,37.5,U10&gt;5000,46)</f>
        <v>12.5</v>
      </c>
      <c r="V11" s="14" cm="1">
        <f t="array" ref="V11">_xlfn.IFS(V10&lt;5,0,V10&lt;1000,4,V10&lt;2000,12.5,V10&lt;3000,21,V10&lt;4000,29,V10&lt;5000,37.5,V10&gt;5000,46)</f>
        <v>12.5</v>
      </c>
      <c r="W11" s="14" cm="1">
        <f t="array" ref="W11">_xlfn.IFS(W10&lt;5,0,W10&lt;1000,4,W10&lt;2000,12.5,W10&lt;3000,21,W10&lt;4000,29,W10&lt;5000,37.5,W10&gt;5000,46)</f>
        <v>12.5</v>
      </c>
      <c r="X11" s="14" cm="1">
        <f t="array" ref="X11">_xlfn.IFS(X10&lt;5,0,X10&lt;1000,4,X10&lt;2000,12.5,X10&lt;3000,21,X10&lt;4000,29,X10&lt;5000,37.5,X10&gt;5000,46)</f>
        <v>12.5</v>
      </c>
      <c r="Y11" s="14" cm="1">
        <f t="array" ref="Y11">_xlfn.IFS(Y10&lt;5,0,Y10&lt;1000,4,Y10&lt;2000,12.5,Y10&lt;3000,21,Y10&lt;4000,29,Y10&lt;5000,37.5,Y10&gt;5000,46)</f>
        <v>12.5</v>
      </c>
      <c r="Z11" s="14" cm="1">
        <f t="array" ref="Z11">_xlfn.IFS(Z10&lt;5,0,Z10&lt;1000,4,Z10&lt;2000,12.5,Z10&lt;3000,21,Z10&lt;4000,29,Z10&lt;5000,37.5,Z10&gt;5000,46)</f>
        <v>12.5</v>
      </c>
      <c r="AA11" s="14" cm="1">
        <f t="array" ref="AA11">_xlfn.IFS(AA10&lt;5,0,AA10&lt;1000,4,AA10&lt;2000,12.5,AA10&lt;3000,21,AA10&lt;4000,29,AA10&lt;5000,37.5,AA10&gt;5000,46)</f>
        <v>12.5</v>
      </c>
      <c r="AB11" s="14" cm="1">
        <f t="array" ref="AB11">_xlfn.IFS(AB10&lt;5,0,AB10&lt;1000,4,AB10&lt;2000,12.5,AB10&lt;3000,21,AB10&lt;4000,29,AB10&lt;5000,37.5,AB10&gt;5000,46)</f>
        <v>12.5</v>
      </c>
      <c r="AC11" s="14" cm="1">
        <f t="array" ref="AC11">_xlfn.IFS(AC10&lt;5,0,AC10&lt;1000,4,AC10&lt;2000,12.5,AC10&lt;3000,21,AC10&lt;4000,29,AC10&lt;5000,37.5,AC10&gt;5000,46)</f>
        <v>12.5</v>
      </c>
      <c r="AD11" s="14" cm="1">
        <f t="array" ref="AD11">_xlfn.IFS(AD10&lt;5,0,AD10&lt;1000,4,AD10&lt;2000,12.5,AD10&lt;3000,21,AD10&lt;4000,29,AD10&lt;5000,37.5,AD10&gt;5000,46)</f>
        <v>12.5</v>
      </c>
    </row>
    <row r="12" spans="2:30" ht="14.55" customHeight="1" x14ac:dyDescent="0.3">
      <c r="B12" s="2" t="s">
        <v>60</v>
      </c>
      <c r="C12" s="10">
        <f>C9-C10</f>
        <v>3820.8571428571431</v>
      </c>
      <c r="D12" t="s">
        <v>3</v>
      </c>
      <c r="E12" s="10"/>
      <c r="F12" s="26">
        <f t="shared" si="3"/>
        <v>2034</v>
      </c>
      <c r="G12" s="27">
        <f>$V$20</f>
        <v>2619.7956354822209</v>
      </c>
      <c r="H12" s="27">
        <f t="shared" si="1"/>
        <v>218.31630295685173</v>
      </c>
      <c r="I12" s="28">
        <f t="shared" si="2"/>
        <v>112.20889746706686</v>
      </c>
      <c r="J12" s="29">
        <f>$V$3+$V$4</f>
        <v>106.10740548978487</v>
      </c>
      <c r="K12" s="46">
        <f>$V$21</f>
        <v>250.09102843579981</v>
      </c>
      <c r="L12" s="13" t="s">
        <v>61</v>
      </c>
      <c r="M12" s="14">
        <f>(M5-M8)*Uitgangspunten!E4-M9*Uitgangspunten!E5</f>
        <v>960.18140000000017</v>
      </c>
      <c r="N12" s="14">
        <f>(N5-N8)*Uitgangspunten!F4-N9*Uitgangspunten!F5</f>
        <v>982.36097286000017</v>
      </c>
      <c r="O12" s="14">
        <f>(O5-O8)*Uitgangspunten!G4-O9*Uitgangspunten!G5</f>
        <v>1170.7850504160006</v>
      </c>
      <c r="P12" s="14">
        <f>(P5-P8)*Uitgangspunten!H4-P9*Uitgangspunten!H5</f>
        <v>1196.4431051524807</v>
      </c>
      <c r="Q12" s="14">
        <f>(Q5-Q8)*Uitgangspunten!I4-Q9*Uitgangspunten!I5</f>
        <v>1222.6591680582535</v>
      </c>
      <c r="R12" s="14">
        <f>(R5-R8)*Uitgangspunten!J4-R9*Uitgangspunten!J5</f>
        <v>1249.4452962381965</v>
      </c>
      <c r="S12" s="14">
        <f>(S5-S8)*Uitgangspunten!K4-S9*Uitgangspunten!K5</f>
        <v>1276.8138058781133</v>
      </c>
      <c r="T12" s="14">
        <f>(T5-T8)*Uitgangspunten!L4-T9*Uitgangspunten!L5</f>
        <v>1304.7772777851319</v>
      </c>
      <c r="U12" s="14">
        <f>(U5-U8)*Uitgangspunten!M4-U9*Uitgangspunten!M5</f>
        <v>1333.3485630460802</v>
      </c>
      <c r="V12" s="14">
        <f>(V5-V8)*Uitgangspunten!N4-V9*Uitgangspunten!N5</f>
        <v>1362.5407888063523</v>
      </c>
      <c r="W12" s="14">
        <f>(W5-W8)*Uitgangspunten!O4-W9*Uitgangspunten!O5</f>
        <v>1392.3673641718165</v>
      </c>
      <c r="X12" s="14">
        <f>(X5-X8)*Uitgangspunten!P4-X9*Uitgangspunten!P5</f>
        <v>1422.8419862363769</v>
      </c>
      <c r="Y12" s="14">
        <f>(Y5-Y8)*Uitgangspunten!Q4-Y9*Uitgangspunten!Q5</f>
        <v>1453.9786462378511</v>
      </c>
      <c r="Z12" s="14">
        <f>(Z5-Z8)*Uitgangspunten!R4-Z9*Uitgangspunten!R5</f>
        <v>1485.7916358448897</v>
      </c>
      <c r="AA12" s="14">
        <f>(AA5-AA8)*Uitgangspunten!S4-AA9*Uitgangspunten!S5</f>
        <v>1518.2955535777148</v>
      </c>
      <c r="AB12" s="14">
        <f>(AB5-AB8)*Uitgangspunten!T4-AB9*Uitgangspunten!T5</f>
        <v>1551.5053113655149</v>
      </c>
      <c r="AC12" s="14">
        <f>(AC5-AC8)*Uitgangspunten!U4-AC9*Uitgangspunten!U5</f>
        <v>1585.4361412433955</v>
      </c>
      <c r="AD12" s="14">
        <f>(AD5-AD8)*Uitgangspunten!V4-AD9*Uitgangspunten!V5</f>
        <v>1620.1036021918458</v>
      </c>
    </row>
    <row r="13" spans="2:30" ht="14.55" customHeight="1" x14ac:dyDescent="0.3">
      <c r="B13" s="2"/>
      <c r="C13" s="10"/>
      <c r="F13" s="26">
        <f t="shared" si="3"/>
        <v>2035</v>
      </c>
      <c r="G13" s="27">
        <f>$W$20</f>
        <v>2672.2473077812028</v>
      </c>
      <c r="H13" s="27">
        <f t="shared" si="1"/>
        <v>222.68727564843357</v>
      </c>
      <c r="I13" s="28">
        <f t="shared" si="2"/>
        <v>114.66772204885299</v>
      </c>
      <c r="J13" s="29">
        <f>$W$3+$W$4</f>
        <v>108.01955359958058</v>
      </c>
      <c r="K13" s="46">
        <f>$W$21</f>
        <v>257.01677511995655</v>
      </c>
      <c r="L13" s="13" t="s">
        <v>62</v>
      </c>
      <c r="M13" s="14">
        <f>Uitgangspunten!E9</f>
        <v>471.77344999999997</v>
      </c>
      <c r="N13" s="14">
        <f>Uitgangspunten!F9</f>
        <v>481.20891899999998</v>
      </c>
      <c r="O13" s="14">
        <f>Uitgangspunten!G9</f>
        <v>490.83309737999997</v>
      </c>
      <c r="P13" s="14">
        <f>Uitgangspunten!H9</f>
        <v>500.64975932759995</v>
      </c>
      <c r="Q13" s="14">
        <f>Uitgangspunten!I9</f>
        <v>510.66275451415197</v>
      </c>
      <c r="R13" s="14">
        <f>Uitgangspunten!J9</f>
        <v>520.87600960443501</v>
      </c>
      <c r="S13" s="14">
        <f>Uitgangspunten!K9</f>
        <v>531.29352979652367</v>
      </c>
      <c r="T13" s="14">
        <f>Uitgangspunten!L9</f>
        <v>541.91940039245412</v>
      </c>
      <c r="U13" s="14">
        <f>Uitgangspunten!M9</f>
        <v>552.75778840030318</v>
      </c>
      <c r="V13" s="14">
        <f>Uitgangspunten!N9</f>
        <v>563.81294416830929</v>
      </c>
      <c r="W13" s="14">
        <f>Uitgangspunten!O9</f>
        <v>575.08920305167544</v>
      </c>
      <c r="X13" s="14">
        <f>Uitgangspunten!P9</f>
        <v>586.59098711270894</v>
      </c>
      <c r="Y13" s="14">
        <f>Uitgangspunten!Q9</f>
        <v>598.32280685496312</v>
      </c>
      <c r="Z13" s="14">
        <f>Uitgangspunten!R9</f>
        <v>610.28926299206239</v>
      </c>
      <c r="AA13" s="14">
        <f>Uitgangspunten!S9</f>
        <v>622.49504825190365</v>
      </c>
      <c r="AB13" s="14">
        <f>Uitgangspunten!T9</f>
        <v>634.94494921694172</v>
      </c>
      <c r="AC13" s="14">
        <f>Uitgangspunten!U9</f>
        <v>647.64384820128055</v>
      </c>
      <c r="AD13" s="14">
        <f>Uitgangspunten!V9</f>
        <v>660.59672516530622</v>
      </c>
    </row>
    <row r="14" spans="2:30" ht="14.55" customHeight="1" x14ac:dyDescent="0.3">
      <c r="B14" s="2" t="str">
        <f>IF(C7="Warmtenet","Warmteverbruik","Gasverbruik")</f>
        <v>Gasverbruik</v>
      </c>
      <c r="C14" s="10" cm="1">
        <f t="array" ref="C14">_xlfn.IFS(C7="Hybride",C5*(1-Uitgangspunten!C36),C7="All electric",0,C7="Geen",C5,C7="Warmtenet",C5/31.6)</f>
        <v>0</v>
      </c>
      <c r="D14" t="str">
        <f>IF(C7="Warmtenet","GJ","m3")</f>
        <v>m3</v>
      </c>
      <c r="F14" s="26">
        <f t="shared" si="3"/>
        <v>2036</v>
      </c>
      <c r="G14" s="27">
        <f>$X$20</f>
        <v>2725.7995287179501</v>
      </c>
      <c r="H14" s="27">
        <f t="shared" si="1"/>
        <v>227.14996072649583</v>
      </c>
      <c r="I14" s="28">
        <f t="shared" si="2"/>
        <v>117.18001605492367</v>
      </c>
      <c r="J14" s="29">
        <f>$X$3+$X$4</f>
        <v>109.96994467157216</v>
      </c>
      <c r="K14" s="46">
        <f>$X$21</f>
        <v>264.13875452125967</v>
      </c>
      <c r="L14" s="13" t="s">
        <v>63</v>
      </c>
      <c r="M14" s="14">
        <f>IF($C$7="Warmtenet",0,$C$14*Uitgangspunten!E7)</f>
        <v>0</v>
      </c>
      <c r="N14" s="14">
        <f>IF($C$7="Warmtenet",0,$C$14*Uitgangspunten!F7)</f>
        <v>0</v>
      </c>
      <c r="O14" s="14">
        <f>IF($C$7="Warmtenet",0,$C$14*Uitgangspunten!G7)</f>
        <v>0</v>
      </c>
      <c r="P14" s="14">
        <f>IF($C$7="Warmtenet",0,$C$14*Uitgangspunten!H7)</f>
        <v>0</v>
      </c>
      <c r="Q14" s="14">
        <f>IF($C$7="Warmtenet",0,$C$14*Uitgangspunten!I7)</f>
        <v>0</v>
      </c>
      <c r="R14" s="14">
        <f>IF($C$7="Warmtenet",0,$C$14*Uitgangspunten!J7)</f>
        <v>0</v>
      </c>
      <c r="S14" s="14">
        <f>IF($C$7="Warmtenet",0,$C$14*Uitgangspunten!K7)</f>
        <v>0</v>
      </c>
      <c r="T14" s="14">
        <f>IF($C$7="Warmtenet",0,$C$14*Uitgangspunten!L7)</f>
        <v>0</v>
      </c>
      <c r="U14" s="14">
        <f>IF($C$7="Warmtenet",0,$C$14*Uitgangspunten!M7)</f>
        <v>0</v>
      </c>
      <c r="V14" s="14">
        <f>IF($C$7="Warmtenet",0,$C$14*Uitgangspunten!N7)</f>
        <v>0</v>
      </c>
      <c r="W14" s="14">
        <f>IF($C$7="Warmtenet",0,$C$14*Uitgangspunten!O7)</f>
        <v>0</v>
      </c>
      <c r="X14" s="14">
        <f>IF($C$7="Warmtenet",0,$C$14*Uitgangspunten!P7)</f>
        <v>0</v>
      </c>
      <c r="Y14" s="14">
        <f>IF($C$7="Warmtenet",0,$C$14*Uitgangspunten!Q7)</f>
        <v>0</v>
      </c>
      <c r="Z14" s="14">
        <f>IF($C$7="Warmtenet",0,$C$14*Uitgangspunten!R7)</f>
        <v>0</v>
      </c>
      <c r="AA14" s="14">
        <f>IF($C$7="Warmtenet",0,$C$14*Uitgangspunten!S7)</f>
        <v>0</v>
      </c>
      <c r="AB14" s="14">
        <f>IF($C$7="Warmtenet",0,$C$14*Uitgangspunten!T7)</f>
        <v>0</v>
      </c>
      <c r="AC14" s="14">
        <f>IF($C$7="Warmtenet",0,$C$14*Uitgangspunten!U7)</f>
        <v>0</v>
      </c>
      <c r="AD14" s="14">
        <f>IF($C$7="Warmtenet",0,$C$14*Uitgangspunten!V7)</f>
        <v>0</v>
      </c>
    </row>
    <row r="15" spans="2:30" ht="14.55" customHeight="1" x14ac:dyDescent="0.3">
      <c r="B15" s="2"/>
      <c r="C15" s="10"/>
      <c r="F15" s="26">
        <f t="shared" si="3"/>
        <v>2037</v>
      </c>
      <c r="G15" s="27">
        <f>$Y$20</f>
        <v>2780.4753395690559</v>
      </c>
      <c r="H15" s="27">
        <f t="shared" si="1"/>
        <v>231.70627829742133</v>
      </c>
      <c r="I15" s="28">
        <f t="shared" si="2"/>
        <v>119.74693473241771</v>
      </c>
      <c r="J15" s="29">
        <f>$Y$3+$Y$4</f>
        <v>111.95934356500362</v>
      </c>
      <c r="K15" s="46">
        <f>$Y$21</f>
        <v>271.462622827556</v>
      </c>
      <c r="L15" s="13" t="s">
        <v>64</v>
      </c>
      <c r="M15" s="14">
        <f>IF($C$7="Warmtenet",$C$14*Uitgangspunten!E8,0)</f>
        <v>0</v>
      </c>
      <c r="N15" s="14">
        <f>IF($C$7="Warmtenet",$C$14*Uitgangspunten!F8,0)</f>
        <v>0</v>
      </c>
      <c r="O15" s="14">
        <f>IF($C$7="Warmtenet",$C$14*Uitgangspunten!G8,0)</f>
        <v>0</v>
      </c>
      <c r="P15" s="14">
        <f>IF($C$7="Warmtenet",$C$14*Uitgangspunten!H8,0)</f>
        <v>0</v>
      </c>
      <c r="Q15" s="14">
        <f>IF($C$7="Warmtenet",$C$14*Uitgangspunten!I8,0)</f>
        <v>0</v>
      </c>
      <c r="R15" s="14">
        <f>IF($C$7="Warmtenet",$C$14*Uitgangspunten!J8,0)</f>
        <v>0</v>
      </c>
      <c r="S15" s="14">
        <f>IF($C$7="Warmtenet",$C$14*Uitgangspunten!K8,0)</f>
        <v>0</v>
      </c>
      <c r="T15" s="14">
        <f>IF($C$7="Warmtenet",$C$14*Uitgangspunten!L8,0)</f>
        <v>0</v>
      </c>
      <c r="U15" s="14">
        <f>IF($C$7="Warmtenet",$C$14*Uitgangspunten!M8,0)</f>
        <v>0</v>
      </c>
      <c r="V15" s="14">
        <f>IF($C$7="Warmtenet",$C$14*Uitgangspunten!N8,0)</f>
        <v>0</v>
      </c>
      <c r="W15" s="14">
        <f>IF($C$7="Warmtenet",$C$14*Uitgangspunten!O8,0)</f>
        <v>0</v>
      </c>
      <c r="X15" s="14">
        <f>IF($C$7="Warmtenet",$C$14*Uitgangspunten!P8,0)</f>
        <v>0</v>
      </c>
      <c r="Y15" s="14">
        <f>IF($C$7="Warmtenet",$C$14*Uitgangspunten!Q8,0)</f>
        <v>0</v>
      </c>
      <c r="Z15" s="14">
        <f>IF($C$7="Warmtenet",$C$14*Uitgangspunten!R8,0)</f>
        <v>0</v>
      </c>
      <c r="AA15" s="14">
        <f>IF($C$7="Warmtenet",$C$14*Uitgangspunten!S8,0)</f>
        <v>0</v>
      </c>
      <c r="AB15" s="14">
        <f>IF($C$7="Warmtenet",$C$14*Uitgangspunten!T8,0)</f>
        <v>0</v>
      </c>
      <c r="AC15" s="14">
        <f>IF($C$7="Warmtenet",$C$14*Uitgangspunten!U8,0)</f>
        <v>0</v>
      </c>
      <c r="AD15" s="14">
        <f>IF($C$7="Warmtenet",$C$14*Uitgangspunten!V8,0)</f>
        <v>0</v>
      </c>
    </row>
    <row r="16" spans="2:30" ht="14.55" customHeight="1" x14ac:dyDescent="0.3">
      <c r="B16" s="2" t="s">
        <v>32</v>
      </c>
      <c r="F16" s="26">
        <f t="shared" si="3"/>
        <v>2038</v>
      </c>
      <c r="G16" s="27">
        <f>$Z$20</f>
        <v>2836.2982630427186</v>
      </c>
      <c r="H16" s="27">
        <f t="shared" si="1"/>
        <v>236.35818858689322</v>
      </c>
      <c r="I16" s="28">
        <f t="shared" si="2"/>
        <v>122.36965815058953</v>
      </c>
      <c r="J16" s="29">
        <f>$Z$3+$Z$4</f>
        <v>113.98853043630369</v>
      </c>
      <c r="K16" s="46">
        <f>$Z$21</f>
        <v>278.99420129645432</v>
      </c>
      <c r="L16" s="13" t="s">
        <v>65</v>
      </c>
      <c r="M16" s="14" cm="1">
        <f t="array" ref="M16">(_xlfn.IFS($C$7="All electric",0,$C$14&lt;500,175.2748,$C$14&gt;499,247.151))*(1+(Uitgangspunten!$C$18))^(Scenario!M2-$M$2)</f>
        <v>0</v>
      </c>
      <c r="N16" s="14" cm="1">
        <f t="array" ref="N16">(_xlfn.IFS($C$7="All electric",0,$C$14&lt;500,175.2748,$C$14&gt;499,247.151))*(1+(Uitgangspunten!$C$18))^(Scenario!N2-$M$2)</f>
        <v>0</v>
      </c>
      <c r="O16" s="14" cm="1">
        <f t="array" ref="O16">(_xlfn.IFS($C$7="All electric",0,$C$14&lt;500,175.2748,$C$14&gt;499,247.151))*(1+(Uitgangspunten!$C$18))^(Scenario!O2-$M$2)</f>
        <v>0</v>
      </c>
      <c r="P16" s="14" cm="1">
        <f t="array" ref="P16">(_xlfn.IFS($C$7="All electric",0,$C$14&lt;500,175.2748,$C$14&gt;499,247.151))*(1+(Uitgangspunten!$C$18))^(Scenario!P2-$M$2)</f>
        <v>0</v>
      </c>
      <c r="Q16" s="14" cm="1">
        <f t="array" ref="Q16">(_xlfn.IFS($C$7="All electric",0,$C$14&lt;500,175.2748,$C$14&gt;499,247.151))*(1+(Uitgangspunten!$C$18))^(Scenario!Q2-$M$2)</f>
        <v>0</v>
      </c>
      <c r="R16" s="14" cm="1">
        <f t="array" ref="R16">(_xlfn.IFS($C$7="All electric",0,$C$14&lt;500,175.2748,$C$14&gt;499,247.151))*(1+(Uitgangspunten!$C$18))^(Scenario!R2-$M$2)</f>
        <v>0</v>
      </c>
      <c r="S16" s="14" cm="1">
        <f t="array" ref="S16">(_xlfn.IFS($C$7="All electric",0,$C$14&lt;500,175.2748,$C$14&gt;499,247.151))*(1+(Uitgangspunten!$C$18))^(Scenario!S2-$M$2)</f>
        <v>0</v>
      </c>
      <c r="T16" s="14" cm="1">
        <f t="array" ref="T16">(_xlfn.IFS($C$7="All electric",0,$C$14&lt;500,175.2748,$C$14&gt;499,247.151))*(1+(Uitgangspunten!$C$18))^(Scenario!T2-$M$2)</f>
        <v>0</v>
      </c>
      <c r="U16" s="14" cm="1">
        <f t="array" ref="U16">(_xlfn.IFS($C$7="All electric",0,$C$14&lt;500,175.2748,$C$14&gt;499,247.151))*(1+(Uitgangspunten!$C$18))^(Scenario!U2-$M$2)</f>
        <v>0</v>
      </c>
      <c r="V16" s="14" cm="1">
        <f t="array" ref="V16">(_xlfn.IFS($C$7="All electric",0,$C$14&lt;500,175.2748,$C$14&gt;499,247.151))*(1+(Uitgangspunten!$C$18))^(Scenario!V2-$M$2)</f>
        <v>0</v>
      </c>
      <c r="W16" s="14" cm="1">
        <f t="array" ref="W16">(_xlfn.IFS($C$7="All electric",0,$C$14&lt;500,175.2748,$C$14&gt;499,247.151))*(1+(Uitgangspunten!$C$18))^(Scenario!W2-$M$2)</f>
        <v>0</v>
      </c>
      <c r="X16" s="14" cm="1">
        <f t="array" ref="X16">(_xlfn.IFS($C$7="All electric",0,$C$14&lt;500,175.2748,$C$14&gt;499,247.151))*(1+(Uitgangspunten!$C$18))^(Scenario!X2-$M$2)</f>
        <v>0</v>
      </c>
      <c r="Y16" s="14" cm="1">
        <f t="array" ref="Y16">(_xlfn.IFS($C$7="All electric",0,$C$14&lt;500,175.2748,$C$14&gt;499,247.151))*(1+(Uitgangspunten!$C$18))^(Scenario!Y2-$M$2)</f>
        <v>0</v>
      </c>
      <c r="Z16" s="14" cm="1">
        <f t="array" ref="Z16">(_xlfn.IFS($C$7="All electric",0,$C$14&lt;500,175.2748,$C$14&gt;499,247.151))*(1+(Uitgangspunten!$C$18))^(Scenario!Z2-$M$2)</f>
        <v>0</v>
      </c>
      <c r="AA16" s="14" cm="1">
        <f t="array" ref="AA16">(_xlfn.IFS($C$7="All electric",0,$C$14&lt;500,175.2748,$C$14&gt;499,247.151))*(1+(Uitgangspunten!$C$18))^(Scenario!AA2-$M$2)</f>
        <v>0</v>
      </c>
      <c r="AB16" s="14" cm="1">
        <f t="array" ref="AB16">(_xlfn.IFS($C$7="All electric",0,$C$14&lt;500,175.2748,$C$14&gt;499,247.151))*(1+(Uitgangspunten!$C$18))^(Scenario!AB2-$M$2)</f>
        <v>0</v>
      </c>
      <c r="AC16" s="14" cm="1">
        <f t="array" ref="AC16">(_xlfn.IFS($C$7="All electric",0,$C$14&lt;500,175.2748,$C$14&gt;499,247.151))*(1+(Uitgangspunten!$C$18))^(Scenario!AC2-$M$2)</f>
        <v>0</v>
      </c>
      <c r="AD16" s="14" cm="1">
        <f t="array" ref="AD16">(_xlfn.IFS($C$7="All electric",0,$C$14&lt;500,175.2748,$C$14&gt;499,247.151))*(1+(Uitgangspunten!$C$18))^(Scenario!AD2-$M$2)</f>
        <v>0</v>
      </c>
    </row>
    <row r="17" spans="2:30" ht="14.55" customHeight="1" x14ac:dyDescent="0.3">
      <c r="B17" s="4" t="str">
        <f>IF(C7="Warmtenet","Warmtenet","Warmtepomp")</f>
        <v>Warmtepomp</v>
      </c>
      <c r="C17" s="54" cm="1">
        <f t="array" ref="C17">_xlfn.IFS(C7="Geen",0,C7="Hybride",Uitgangspunten!C28,C7="All electric",Uitgangspunten!C29,C7="Warmtenet",Uitgangspunten!C30)</f>
        <v>80</v>
      </c>
      <c r="D17" s="10"/>
      <c r="F17" s="26">
        <f t="shared" si="3"/>
        <v>2039</v>
      </c>
      <c r="G17" s="27">
        <f>$AA$20</f>
        <v>2893.2923133195</v>
      </c>
      <c r="H17" s="27">
        <f t="shared" si="1"/>
        <v>241.10769277662499</v>
      </c>
      <c r="I17" s="28">
        <f t="shared" si="2"/>
        <v>125.04939173159522</v>
      </c>
      <c r="J17" s="29">
        <f>$AA$3+$AA$4</f>
        <v>116.05830104502976</v>
      </c>
      <c r="K17" s="46">
        <f>$AA$21</f>
        <v>286.739481115101</v>
      </c>
      <c r="L17" s="13" t="s">
        <v>66</v>
      </c>
      <c r="M17" s="14">
        <f>Uitgangspunten!E13</f>
        <v>795.88</v>
      </c>
      <c r="N17" s="14">
        <f>Uitgangspunten!F13</f>
        <v>811.79759999999999</v>
      </c>
      <c r="O17" s="14">
        <f>Uitgangspunten!G13</f>
        <v>828.03355199999999</v>
      </c>
      <c r="P17" s="14">
        <f>Uitgangspunten!H13</f>
        <v>844.59422303999997</v>
      </c>
      <c r="Q17" s="14">
        <f>Uitgangspunten!I13</f>
        <v>861.48610750080002</v>
      </c>
      <c r="R17" s="14">
        <f>Uitgangspunten!J13</f>
        <v>878.71582965081598</v>
      </c>
      <c r="S17" s="14">
        <f>Uitgangspunten!K13</f>
        <v>896.29014624383228</v>
      </c>
      <c r="T17" s="14">
        <f>Uitgangspunten!L13</f>
        <v>914.2159491687089</v>
      </c>
      <c r="U17" s="14">
        <f>Uitgangspunten!M13</f>
        <v>932.50026815208309</v>
      </c>
      <c r="V17" s="14">
        <f>Uitgangspunten!N13</f>
        <v>951.15027351512481</v>
      </c>
      <c r="W17" s="14">
        <f>Uitgangspunten!O13</f>
        <v>970.17327898542737</v>
      </c>
      <c r="X17" s="14">
        <f>Uitgangspunten!P13</f>
        <v>989.57674456513598</v>
      </c>
      <c r="Y17" s="14">
        <f>Uitgangspunten!Q13</f>
        <v>1009.3682794564387</v>
      </c>
      <c r="Z17" s="14">
        <f>Uitgangspunten!R13</f>
        <v>1029.5556450455674</v>
      </c>
      <c r="AA17" s="14">
        <f>Uitgangspunten!S13</f>
        <v>1050.1467579464788</v>
      </c>
      <c r="AB17" s="14">
        <f>Uitgangspunten!T13</f>
        <v>1071.1496931054085</v>
      </c>
      <c r="AC17" s="14">
        <f>Uitgangspunten!U13</f>
        <v>1092.5726869675166</v>
      </c>
      <c r="AD17" s="14">
        <f>Uitgangspunten!V13</f>
        <v>1114.4241407068669</v>
      </c>
    </row>
    <row r="18" spans="2:30" ht="14.55" customHeight="1" x14ac:dyDescent="0.3">
      <c r="B18" s="4" t="s">
        <v>25</v>
      </c>
      <c r="C18" s="5">
        <f>C8*Uitgangspunten!C31</f>
        <v>10.5</v>
      </c>
      <c r="F18" s="26">
        <f t="shared" si="3"/>
        <v>2040</v>
      </c>
      <c r="G18" s="27">
        <f>$AB$20</f>
        <v>2951.4820063021361</v>
      </c>
      <c r="H18" s="27">
        <f t="shared" si="1"/>
        <v>245.95683385851135</v>
      </c>
      <c r="I18" s="28">
        <f t="shared" si="2"/>
        <v>127.78736679258101</v>
      </c>
      <c r="J18" s="29">
        <f>$AB$3+$AB$4</f>
        <v>118.16946706593033</v>
      </c>
      <c r="K18" s="46">
        <f>$AB$21</f>
        <v>294.70462840390223</v>
      </c>
      <c r="L18" s="13" t="s">
        <v>67</v>
      </c>
      <c r="M18" s="14">
        <f>Uitgangspunten!E14</f>
        <v>-635.19000000000005</v>
      </c>
      <c r="N18" s="14">
        <f>Uitgangspunten!F14</f>
        <v>-647.89380000000006</v>
      </c>
      <c r="O18" s="14">
        <f>Uitgangspunten!G14</f>
        <v>-660.85167600000011</v>
      </c>
      <c r="P18" s="14">
        <f>Uitgangspunten!H14</f>
        <v>-674.06870952000008</v>
      </c>
      <c r="Q18" s="14">
        <f>Uitgangspunten!I14</f>
        <v>-687.55008371040014</v>
      </c>
      <c r="R18" s="14">
        <f>Uitgangspunten!J14</f>
        <v>-701.3010853846082</v>
      </c>
      <c r="S18" s="14">
        <f>Uitgangspunten!K14</f>
        <v>-715.32710709230037</v>
      </c>
      <c r="T18" s="14">
        <f>Uitgangspunten!L14</f>
        <v>-729.63364923414633</v>
      </c>
      <c r="U18" s="14">
        <f>Uitgangspunten!M14</f>
        <v>-744.2263222188293</v>
      </c>
      <c r="V18" s="14">
        <f>Uitgangspunten!N14</f>
        <v>-759.11084866320584</v>
      </c>
      <c r="W18" s="14">
        <f>Uitgangspunten!O14</f>
        <v>-774.29306563646992</v>
      </c>
      <c r="X18" s="14">
        <f>Uitgangspunten!P14</f>
        <v>-789.77892694919933</v>
      </c>
      <c r="Y18" s="14">
        <f>Uitgangspunten!Q14</f>
        <v>-805.57450548818338</v>
      </c>
      <c r="Z18" s="14">
        <f>Uitgangspunten!R14</f>
        <v>-821.68599559794711</v>
      </c>
      <c r="AA18" s="14">
        <f>Uitgangspunten!S14</f>
        <v>-838.11971550990609</v>
      </c>
      <c r="AB18" s="14">
        <f>Uitgangspunten!T14</f>
        <v>-854.88210982010423</v>
      </c>
      <c r="AC18" s="14">
        <f>Uitgangspunten!U14</f>
        <v>-871.97975201650638</v>
      </c>
      <c r="AD18" s="14">
        <f>Uitgangspunten!V14</f>
        <v>-889.4193470568365</v>
      </c>
    </row>
    <row r="19" spans="2:30" ht="14.55" customHeight="1" x14ac:dyDescent="0.3">
      <c r="B19" s="4"/>
      <c r="F19" s="26">
        <f t="shared" si="3"/>
        <v>2041</v>
      </c>
      <c r="G19" s="27">
        <f>$AC$20</f>
        <v>3010.8923700787491</v>
      </c>
      <c r="H19" s="27">
        <f t="shared" si="1"/>
        <v>250.90769750656241</v>
      </c>
      <c r="I19" s="28">
        <f t="shared" si="2"/>
        <v>130.58484109931345</v>
      </c>
      <c r="J19" s="29">
        <f>$AC$3+$AC$4</f>
        <v>120.32285640724896</v>
      </c>
      <c r="K19" s="46">
        <f>$AC$21</f>
        <v>302.89598936847443</v>
      </c>
      <c r="L19" s="13" t="s">
        <v>68</v>
      </c>
      <c r="M19" s="34" cm="1">
        <f t="array" ref="M19">_xlfn.IFS($C$5&lt;500,169.95,$C$5&gt;499,240.17)</f>
        <v>240.17</v>
      </c>
      <c r="N19" s="13">
        <f>M19*(1+Uitgangspunten!$C$18)</f>
        <v>244.9734</v>
      </c>
      <c r="O19" s="13">
        <f>N19*(1+Uitgangspunten!$C$18)</f>
        <v>249.87286800000001</v>
      </c>
      <c r="P19" s="13">
        <f>O19*(1+Uitgangspunten!$C$18)</f>
        <v>254.87032536000001</v>
      </c>
      <c r="Q19" s="13">
        <f>P19*(1+Uitgangspunten!$C$18)</f>
        <v>259.96773186720003</v>
      </c>
      <c r="R19" s="13">
        <f>Q19*(1+Uitgangspunten!$C$18)</f>
        <v>265.16708650454405</v>
      </c>
      <c r="S19" s="13">
        <f>R19*(1+Uitgangspunten!$C$18)</f>
        <v>270.47042823463494</v>
      </c>
      <c r="T19" s="13">
        <f>S19*(1+Uitgangspunten!$C$18)</f>
        <v>275.87983679932762</v>
      </c>
      <c r="U19" s="13">
        <f>T19*(1+Uitgangspunten!$C$18)</f>
        <v>281.39743353531418</v>
      </c>
      <c r="V19" s="13">
        <f>U19*(1+Uitgangspunten!$C$18)</f>
        <v>287.02538220602048</v>
      </c>
      <c r="W19" s="13">
        <f>V19*(1+Uitgangspunten!$C$18)</f>
        <v>292.76588985014092</v>
      </c>
      <c r="X19" s="13">
        <f>W19*(1+Uitgangspunten!$C$18)</f>
        <v>298.62120764714376</v>
      </c>
      <c r="Y19" s="13">
        <f>X19*(1+Uitgangspunten!$C$18)</f>
        <v>304.59363180008665</v>
      </c>
      <c r="Z19" s="13">
        <f>Y19*(1+Uitgangspunten!$C$18)</f>
        <v>310.68550443608837</v>
      </c>
      <c r="AA19" s="13">
        <f>Z19*(1+Uitgangspunten!$C$18)</f>
        <v>316.89921452481013</v>
      </c>
      <c r="AB19" s="13">
        <f>AA19*(1+Uitgangspunten!$C$18)</f>
        <v>323.23719881530633</v>
      </c>
      <c r="AC19" s="13">
        <f>AB19*(1+Uitgangspunten!$C$18)</f>
        <v>329.70194279161245</v>
      </c>
      <c r="AD19" s="13">
        <f>AC19*(1+Uitgangspunten!$C$18)</f>
        <v>336.29598164744471</v>
      </c>
    </row>
    <row r="20" spans="2:30" ht="14.55" customHeight="1" thickBot="1" x14ac:dyDescent="0.35">
      <c r="F20" s="30">
        <f t="shared" si="3"/>
        <v>2042</v>
      </c>
      <c r="G20" s="31">
        <f>$AD$20</f>
        <v>3071.548955603907</v>
      </c>
      <c r="H20" s="31">
        <f t="shared" si="1"/>
        <v>255.96241296699225</v>
      </c>
      <c r="I20" s="32">
        <f t="shared" si="2"/>
        <v>133.44309943159828</v>
      </c>
      <c r="J20" s="33">
        <f>$AD$3+$AD$4</f>
        <v>122.51931353539395</v>
      </c>
      <c r="K20" s="46">
        <f>$AD$21</f>
        <v>311.32009560423296</v>
      </c>
      <c r="L20" s="13" t="s">
        <v>40</v>
      </c>
      <c r="M20" s="13">
        <f>IF($C$7="Warmtenet",M3*12+M4*12+Uitgangspunten!E6*12+M12+M13+M15+M17+M18,M3*12+M4*12+Uitgangspunten!E6*12+M12+M13+M14+Uitgangspunten!E12+M18)</f>
        <v>2032.7648500000005</v>
      </c>
      <c r="N20" s="13">
        <f>IF($C$7="Warmtenet",N3*12+N4*12+Uitgangspunten!F6*12+N12+N13+N15+N17+N18,N3*12+N4*12+Uitgangspunten!F6*12+N12+N13+N14+Uitgangspunten!F12+N18)</f>
        <v>2073.8760918600001</v>
      </c>
      <c r="O20" s="13">
        <f>IF($C$7="Warmtenet",O3*12+O4*12+Uitgangspunten!G6*12+O12+O13+O15+O17+O18,O3*12+O4*12+Uitgangspunten!G6*12+O12+O13+O14+Uitgangspunten!G12+O18)</f>
        <v>2281.6104717960002</v>
      </c>
      <c r="P20" s="13">
        <f>IF($C$7="Warmtenet",P3*12+P4*12+Uitgangspunten!H6*12+P12+P13+P15+P17+P18,P3*12+P4*12+Uitgangspunten!H6*12+P12+P13+P14+Uitgangspunten!H12+P18)</f>
        <v>2326.9650349600806</v>
      </c>
      <c r="Q20" s="13">
        <f>IF($C$7="Warmtenet",Q3*12+Q4*12+Uitgangspunten!I6*12+Q12+Q13+Q15+Q17+Q18,Q3*12+Q4*12+Uitgangspunten!I6*12+Q12+Q13+Q14+Uitgangspunten!I12+Q18)</f>
        <v>2373.2715364620053</v>
      </c>
      <c r="R20" s="13">
        <f>IF($C$7="Warmtenet",R3*12+R4*12+Uitgangspunten!J6*12+R12+R13+R15+R17+R18,R3*12+R4*12+Uitgangspunten!J6*12+R12+R13+R14+Uitgangspunten!J12+R18)</f>
        <v>2420.5499120100239</v>
      </c>
      <c r="S20" s="13">
        <f>IF($C$7="Warmtenet",S3*12+S4*12+Uitgangspunten!K6*12+S12+S13+S15+S17+S18,S3*12+S4*12+Uitgangspunten!K6*12+S12+S13+S14+Uitgangspunten!K12+S18)</f>
        <v>2468.8205139653764</v>
      </c>
      <c r="T20" s="13">
        <f>IF($C$7="Warmtenet",T3*12+T4*12+Uitgangspunten!L6*12+T12+T13+T15+T17+T18,T3*12+T4*12+Uitgangspunten!L6*12+T12+T13+T14+Uitgangspunten!L12+T18)</f>
        <v>2518.1041200341406</v>
      </c>
      <c r="U20" s="13">
        <f>IF($C$7="Warmtenet",U3*12+U4*12+Uitgangspunten!M6*12+U12+U13+U15+U17+U18,U3*12+U4*12+Uitgangspunten!M6*12+U12+U13+U14+Uitgangspunten!M12+U18)</f>
        <v>2568.4219421400685</v>
      </c>
      <c r="V20" s="13">
        <f>IF($C$7="Warmtenet",V3*12+V4*12+Uitgangspunten!N6*12+V12+V13+V15+V17+V18,V3*12+V4*12+Uitgangspunten!N6*12+V12+V13+V14+Uitgangspunten!N12+V18)</f>
        <v>2619.7956354822209</v>
      </c>
      <c r="W20" s="13">
        <f>IF($C$7="Warmtenet",W3*12+W4*12+Uitgangspunten!O6*12+W12+W13+W15+W17+W18,W3*12+W4*12+Uitgangspunten!O6*12+W12+W13+W14+Uitgangspunten!O12+W18)</f>
        <v>2672.2473077812028</v>
      </c>
      <c r="X20" s="13">
        <f>IF($C$7="Warmtenet",X3*12+X4*12+Uitgangspunten!P6*12+X12+X13+X15+X17+X18,X3*12+X4*12+Uitgangspunten!P6*12+X12+X13+X14+Uitgangspunten!P12+X18)</f>
        <v>2725.7995287179501</v>
      </c>
      <c r="Y20" s="13">
        <f>IF($C$7="Warmtenet",Y3*12+Y4*12+Uitgangspunten!Q6*12+Y12+Y13+Y15+Y17+Y18,Y3*12+Y4*12+Uitgangspunten!Q6*12+Y12+Y13+Y14+Uitgangspunten!Q12+Y18)</f>
        <v>2780.4753395690559</v>
      </c>
      <c r="Z20" s="13">
        <f>IF($C$7="Warmtenet",Z3*12+Z4*12+Uitgangspunten!R6*12+Z12+Z13+Z15+Z17+Z18,Z3*12+Z4*12+Uitgangspunten!R6*12+Z12+Z13+Z14+Uitgangspunten!R12+Z18)</f>
        <v>2836.2982630427186</v>
      </c>
      <c r="AA20" s="13">
        <f>IF($C$7="Warmtenet",AA3*12+AA4*12+Uitgangspunten!S6*12+AA12+AA13+AA15+AA17+AA18,AA3*12+AA4*12+Uitgangspunten!S6*12+AA12+AA13+AA14+Uitgangspunten!S12+AA18)</f>
        <v>2893.2923133195</v>
      </c>
      <c r="AB20" s="13">
        <f>IF($C$7="Warmtenet",AB3*12+AB4*12+Uitgangspunten!T6*12+AB12+AB13+AB15+AB17+AB18,AB3*12+AB4*12+Uitgangspunten!T6*12+AB12+AB13+AB14+Uitgangspunten!T12+AB18)</f>
        <v>2951.4820063021361</v>
      </c>
      <c r="AC20" s="13">
        <f>IF($C$7="Warmtenet",AC3*12+AC4*12+Uitgangspunten!U6*12+AC12+AC13+AC15+AC17+AC18,AC3*12+AC4*12+Uitgangspunten!U6*12+AC12+AC13+AC14+Uitgangspunten!U12+AC18)</f>
        <v>3010.8923700787491</v>
      </c>
      <c r="AD20" s="13">
        <f>IF($C$7="Warmtenet",AD3*12+AD4*12+Uitgangspunten!V6*12+AD12+AD13+AD15+AD17+AD18,AD3*12+AD4*12+Uitgangspunten!V6*12+AD12+AD13+AD14+Uitgangspunten!V12+AD18)</f>
        <v>3071.548955603907</v>
      </c>
    </row>
    <row r="21" spans="2:30" ht="14.55" customHeight="1" x14ac:dyDescent="0.3">
      <c r="L21" s="13" t="s">
        <v>69</v>
      </c>
      <c r="M21" s="34">
        <f>($C$4*Uitgangspunten!E4+Scenario!$C$5*Uitgangspunten!E7+Uitgangspunten!E9+Scenario!M19+M18)/12</f>
        <v>195.73237083333333</v>
      </c>
      <c r="N21" s="34">
        <f>($C$4*Uitgangspunten!F4+Scenario!$C$5*Uitgangspunten!F7+Uitgangspunten!F9+Scenario!N19+N18)/12</f>
        <v>201.12154741666669</v>
      </c>
      <c r="O21" s="34">
        <f>($C$4*Uitgangspunten!G4+Scenario!$C$5*Uitgangspunten!G7+Uitgangspunten!G9+Scenario!O19+O18)/12</f>
        <v>206.66274340666664</v>
      </c>
      <c r="P21" s="34">
        <f>($C$4*Uitgangspunten!H4+Scenario!$C$5*Uitgangspunten!H7+Uitgangspunten!H9+Scenario!P19+P18)/12</f>
        <v>212.36032626771669</v>
      </c>
      <c r="Q21" s="34">
        <f>($C$4*Uitgangspunten!I4+Scenario!$C$5*Uitgangspunten!I7+Uitgangspunten!I9+Scenario!Q19+Q18)/12</f>
        <v>218.2187906257752</v>
      </c>
      <c r="R21" s="34">
        <f>($C$4*Uitgangspunten!J4+Scenario!$C$5*Uitgangspunten!J7+Uitgangspunten!J9+Scenario!R19+R18)/12</f>
        <v>224.24276200597603</v>
      </c>
      <c r="S21" s="34">
        <f>($C$4*Uitgangspunten!K4+Scenario!$C$5*Uitgangspunten!K7+Uitgangspunten!K9+Scenario!S19+S18)/12</f>
        <v>230.43700068081139</v>
      </c>
      <c r="T21" s="34">
        <f>($C$4*Uitgangspunten!L4+Scenario!$C$5*Uitgangspunten!L7+Uitgangspunten!L9+Scenario!T19+T18)/12</f>
        <v>236.80640563218495</v>
      </c>
      <c r="U21" s="34">
        <f>($C$4*Uitgangspunten!M4+Scenario!$C$5*Uitgangspunten!M7+Uitgangspunten!M9+Scenario!U19+U18)/12</f>
        <v>243.35601863071864</v>
      </c>
      <c r="V21" s="34">
        <f>($C$4*Uitgangspunten!N4+Scenario!$C$5*Uitgangspunten!N7+Uitgangspunten!N9+Scenario!V19+V18)/12</f>
        <v>250.09102843579981</v>
      </c>
      <c r="W21" s="34">
        <f>($C$4*Uitgangspunten!O4+Scenario!$C$5*Uitgangspunten!O7+Uitgangspunten!O9+Scenario!W19+W18)/12</f>
        <v>257.01677511995655</v>
      </c>
      <c r="X21" s="34">
        <f>($C$4*Uitgangspunten!P4+Scenario!$C$5*Uitgangspunten!P7+Uitgangspunten!P9+Scenario!X19+X18)/12</f>
        <v>264.13875452125967</v>
      </c>
      <c r="Y21" s="34">
        <f>($C$4*Uitgangspunten!Q4+Scenario!$C$5*Uitgangspunten!Q7+Uitgangspunten!Q9+Scenario!Y19+Y18)/12</f>
        <v>271.462622827556</v>
      </c>
      <c r="Z21" s="34">
        <f>($C$4*Uitgangspunten!R4+Scenario!$C$5*Uitgangspunten!R7+Uitgangspunten!R9+Scenario!Z19+Z18)/12</f>
        <v>278.99420129645432</v>
      </c>
      <c r="AA21" s="34">
        <f>($C$4*Uitgangspunten!S4+Scenario!$C$5*Uitgangspunten!S7+Uitgangspunten!S9+Scenario!AA19+AA18)/12</f>
        <v>286.739481115101</v>
      </c>
      <c r="AB21" s="34">
        <f>($C$4*Uitgangspunten!T4+Scenario!$C$5*Uitgangspunten!T7+Uitgangspunten!T9+Scenario!AB19+AB18)/12</f>
        <v>294.70462840390223</v>
      </c>
      <c r="AC21" s="34">
        <f>($C$4*Uitgangspunten!U4+Scenario!$C$5*Uitgangspunten!U7+Uitgangspunten!U9+Scenario!AC19+AC18)/12</f>
        <v>302.89598936847443</v>
      </c>
      <c r="AD21" s="34">
        <f>($C$4*Uitgangspunten!V4+Scenario!$C$5*Uitgangspunten!V7+Uitgangspunten!V9+Scenario!AD19+AD18)/12</f>
        <v>311.32009560423296</v>
      </c>
    </row>
    <row r="22" spans="2:30" ht="14.55" customHeight="1" x14ac:dyDescent="0.3">
      <c r="I22" s="5"/>
      <c r="L22" s="13"/>
      <c r="M22" s="34"/>
      <c r="N22" s="34"/>
      <c r="O22" s="34"/>
      <c r="P22" s="34"/>
      <c r="Q22" s="34"/>
    </row>
    <row r="23" spans="2:30" ht="14.55" customHeight="1" x14ac:dyDescent="0.3">
      <c r="E23" s="10"/>
      <c r="I23" s="5">
        <f>+K3-I3</f>
        <v>116.83529999999996</v>
      </c>
      <c r="L23" s="13"/>
      <c r="N23" s="13"/>
    </row>
    <row r="24" spans="2:30" ht="14.55" customHeight="1" x14ac:dyDescent="0.3">
      <c r="I24">
        <f>+I23/6</f>
        <v>19.472549999999995</v>
      </c>
      <c r="L24" s="13"/>
    </row>
    <row r="25" spans="2:30" ht="14.55" customHeight="1" x14ac:dyDescent="0.3">
      <c r="L25" s="13"/>
    </row>
    <row r="26" spans="2:30" ht="14.55" customHeight="1" x14ac:dyDescent="0.3">
      <c r="L26" s="13"/>
    </row>
    <row r="27" spans="2:30" ht="14.55" customHeight="1" x14ac:dyDescent="0.3">
      <c r="L27" s="13"/>
    </row>
    <row r="28" spans="2:30" ht="14.55" customHeight="1" x14ac:dyDescent="0.3"/>
    <row r="29" spans="2:30" ht="14.55" customHeight="1" x14ac:dyDescent="0.3"/>
    <row r="30" spans="2:30" ht="14.55" customHeight="1" x14ac:dyDescent="0.3"/>
    <row r="42" spans="2:25" x14ac:dyDescent="0.3">
      <c r="B42" t="s">
        <v>70</v>
      </c>
      <c r="C42">
        <v>0.32800000000000001</v>
      </c>
      <c r="D42" t="s">
        <v>71</v>
      </c>
      <c r="E42" s="47" t="s">
        <v>72</v>
      </c>
    </row>
    <row r="43" spans="2:25" x14ac:dyDescent="0.3">
      <c r="B43" t="s">
        <v>73</v>
      </c>
      <c r="C43">
        <v>2.1339999999999999</v>
      </c>
      <c r="D43" t="s">
        <v>74</v>
      </c>
      <c r="E43" s="47" t="s">
        <v>72</v>
      </c>
    </row>
    <row r="44" spans="2:25" x14ac:dyDescent="0.3">
      <c r="B44" t="s">
        <v>75</v>
      </c>
      <c r="C44">
        <v>25.05</v>
      </c>
      <c r="D44" t="s">
        <v>76</v>
      </c>
      <c r="E44" s="47" t="s">
        <v>72</v>
      </c>
      <c r="X44" s="12">
        <f>430*0.9</f>
        <v>387</v>
      </c>
      <c r="Y44" s="12">
        <f>+X44*0.28/12</f>
        <v>9.0300000000000011</v>
      </c>
    </row>
    <row r="46" spans="2:25" x14ac:dyDescent="0.3">
      <c r="B46" t="s">
        <v>77</v>
      </c>
      <c r="C46" s="10">
        <f>+C4*C42+C5*C43</f>
        <v>3750.2999999999997</v>
      </c>
      <c r="D46" t="s">
        <v>78</v>
      </c>
    </row>
    <row r="47" spans="2:25" x14ac:dyDescent="0.3">
      <c r="B47" s="48" t="s">
        <v>79</v>
      </c>
      <c r="C47" s="49">
        <f>IF(C7="Warmtenet"," ",C14*C43)</f>
        <v>0</v>
      </c>
      <c r="D47" t="s">
        <v>78</v>
      </c>
    </row>
    <row r="48" spans="2:25" x14ac:dyDescent="0.3">
      <c r="B48" s="48" t="s">
        <v>80</v>
      </c>
      <c r="C48" s="50">
        <f>+C12*C42</f>
        <v>1253.2411428571429</v>
      </c>
      <c r="D48" t="s">
        <v>78</v>
      </c>
    </row>
    <row r="49" spans="2:4" x14ac:dyDescent="0.3">
      <c r="B49" s="48" t="s">
        <v>81</v>
      </c>
      <c r="C49" s="49" t="str">
        <f>IF(C7="Warmtenet",C14*C44," ")</f>
        <v xml:space="preserve"> </v>
      </c>
      <c r="D49" t="s">
        <v>78</v>
      </c>
    </row>
    <row r="50" spans="2:4" x14ac:dyDescent="0.3">
      <c r="B50" s="48" t="s">
        <v>82</v>
      </c>
      <c r="C50" s="51">
        <f>SUM(C47:C48)</f>
        <v>1253.2411428571429</v>
      </c>
      <c r="D50" t="s">
        <v>78</v>
      </c>
    </row>
    <row r="51" spans="2:4" x14ac:dyDescent="0.3">
      <c r="C51" s="10"/>
    </row>
    <row r="52" spans="2:4" x14ac:dyDescent="0.3">
      <c r="B52" s="52" t="s">
        <v>83</v>
      </c>
      <c r="C52" s="53">
        <f>+C46-C50</f>
        <v>2497.0588571428571</v>
      </c>
      <c r="D52" t="s">
        <v>78</v>
      </c>
    </row>
    <row r="53" spans="2:4" x14ac:dyDescent="0.3">
      <c r="C53" s="1">
        <f>+C52/C46</f>
        <v>0.66582909557711578</v>
      </c>
    </row>
  </sheetData>
  <dataValidations count="1">
    <dataValidation type="list" allowBlank="1" showInputMessage="1" showErrorMessage="1" sqref="C7" xr:uid="{07BE0C1C-7058-494B-828F-1E9A24F0298D}">
      <formula1>"Geen,Hybride,All electric,Warmtenet"</formula1>
    </dataValidation>
  </dataValidations>
  <pageMargins left="0.7" right="0.7" top="0.75" bottom="0.75" header="0.3" footer="0.3"/>
  <pageSetup paperSize="9" orientation="portrait" verticalDpi="0"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b2d3099-36b5-41d5-85d6-0a6b1116e741">
      <Terms xmlns="http://schemas.microsoft.com/office/infopath/2007/PartnerControls"/>
    </lcf76f155ced4ddcb4097134ff3c332f>
    <TaxCatchAll xmlns="5edebdf7-6704-4367-8d75-30254b36c80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C4CE99099EE61489B70BFEAE2B02D54" ma:contentTypeVersion="17" ma:contentTypeDescription="Een nieuw document maken." ma:contentTypeScope="" ma:versionID="b3f09ed32c14432f766204dea473f858">
  <xsd:schema xmlns:xsd="http://www.w3.org/2001/XMLSchema" xmlns:xs="http://www.w3.org/2001/XMLSchema" xmlns:p="http://schemas.microsoft.com/office/2006/metadata/properties" xmlns:ns2="1b2d3099-36b5-41d5-85d6-0a6b1116e741" xmlns:ns3="5edebdf7-6704-4367-8d75-30254b36c804" targetNamespace="http://schemas.microsoft.com/office/2006/metadata/properties" ma:root="true" ma:fieldsID="74a1f210cc2eadb5a4a6ad542f086458" ns2:_="" ns3:_="">
    <xsd:import namespace="1b2d3099-36b5-41d5-85d6-0a6b1116e741"/>
    <xsd:import namespace="5edebdf7-6704-4367-8d75-30254b36c804"/>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b2d3099-36b5-41d5-85d6-0a6b1116e7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Afbeeldingtags" ma:readOnly="false" ma:fieldId="{5cf76f15-5ced-4ddc-b409-7134ff3c332f}" ma:taxonomyMulti="true" ma:sspId="47481b0d-ff21-43e6-992d-6712ee48cbf1"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edebdf7-6704-4367-8d75-30254b36c804"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a5f246d0-ead8-4f8f-9196-c80b1363a473}" ma:internalName="TaxCatchAll" ma:showField="CatchAllData" ma:web="5edebdf7-6704-4367-8d75-30254b36c804">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27CA94E-11D1-4518-AEB1-21AE9F3CAC5E}">
  <ds:schemaRefs>
    <ds:schemaRef ds:uri="http://purl.org/dc/terms/"/>
    <ds:schemaRef ds:uri="eed8fc2a-0723-410b-9b64-82fe4e604c27"/>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 ds:uri="http://schemas.openxmlformats.org/package/2006/metadata/core-properties"/>
    <ds:schemaRef ds:uri="443021cc-0e39-4591-9794-f57d823604b6"/>
    <ds:schemaRef ds:uri="http://schemas.microsoft.com/office/2006/metadata/properties"/>
    <ds:schemaRef ds:uri="1b2d3099-36b5-41d5-85d6-0a6b1116e741"/>
    <ds:schemaRef ds:uri="5edebdf7-6704-4367-8d75-30254b36c804"/>
  </ds:schemaRefs>
</ds:datastoreItem>
</file>

<file path=customXml/itemProps2.xml><?xml version="1.0" encoding="utf-8"?>
<ds:datastoreItem xmlns:ds="http://schemas.openxmlformats.org/officeDocument/2006/customXml" ds:itemID="{F9641553-6139-4E49-B89E-163305749A45}">
  <ds:schemaRefs>
    <ds:schemaRef ds:uri="http://schemas.microsoft.com/sharepoint/v3/contenttype/forms"/>
  </ds:schemaRefs>
</ds:datastoreItem>
</file>

<file path=customXml/itemProps3.xml><?xml version="1.0" encoding="utf-8"?>
<ds:datastoreItem xmlns:ds="http://schemas.openxmlformats.org/officeDocument/2006/customXml" ds:itemID="{5E1A2B9D-CFB9-406B-A1AF-825ABF3DE1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b2d3099-36b5-41d5-85d6-0a6b1116e741"/>
    <ds:schemaRef ds:uri="5edebdf7-6704-4367-8d75-30254b36c8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Uitgangspunten</vt:lpstr>
      <vt:lpstr>Scenario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Paul Stegers</dc:creator>
  <cp:keywords/>
  <dc:description/>
  <cp:lastModifiedBy>Marjolijn de Voogd</cp:lastModifiedBy>
  <cp:revision/>
  <dcterms:created xsi:type="dcterms:W3CDTF">2023-08-22T07:45:35Z</dcterms:created>
  <dcterms:modified xsi:type="dcterms:W3CDTF">2026-02-05T08:18:18Z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0x0101007C4CE99099EE61489B70BFEAE2B02D54</vt:lpwstr>
  </property>
  <property fmtid="{D5CDD505-2E9C-101B-9397-08002B2CF9AE}" pid="3" name="MediaServiceImageTags">
    <vt:lpwstr/>
  </property>
  <property fmtid="{D5CDD505-2E9C-101B-9397-08002B2CF9AE}" pid="4" name="Order">
    <vt:r8>1869000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